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9" activeTab="1"/>
  </bookViews>
  <sheets>
    <sheet name="FFT_周波数間引_8samples" sheetId="1" r:id="rId1"/>
    <sheet name="FFT_周波数間引_64samples" sheetId="2" r:id="rId2"/>
  </sheets>
  <definedNames/>
  <calcPr fullCalcOnLoad="1"/>
</workbook>
</file>

<file path=xl/sharedStrings.xml><?xml version="1.0" encoding="utf-8"?>
<sst xmlns="http://schemas.openxmlformats.org/spreadsheetml/2006/main" count="207" uniqueCount="152">
  <si>
    <t>サンプリング周波数</t>
  </si>
  <si>
    <t>sps</t>
  </si>
  <si>
    <t>ナイキスト周波数</t>
  </si>
  <si>
    <t>Hz</t>
  </si>
  <si>
    <t>サンプル数Ｎ</t>
  </si>
  <si>
    <t>（固定）</t>
  </si>
  <si>
    <t>入力信号</t>
  </si>
  <si>
    <t>データ</t>
  </si>
  <si>
    <r>
      <t>第</t>
    </r>
    <r>
      <rPr>
        <sz val="10"/>
        <rFont val="Arial"/>
        <family val="2"/>
      </rPr>
      <t>1</t>
    </r>
    <r>
      <rPr>
        <sz val="10"/>
        <rFont val="mspgothic"/>
        <family val="2"/>
      </rPr>
      <t>段階</t>
    </r>
  </si>
  <si>
    <r>
      <t>第</t>
    </r>
    <r>
      <rPr>
        <sz val="10"/>
        <rFont val="Arial"/>
        <family val="2"/>
      </rPr>
      <t>2</t>
    </r>
    <r>
      <rPr>
        <sz val="10"/>
        <rFont val="mspgothic"/>
        <family val="2"/>
      </rPr>
      <t>段</t>
    </r>
  </si>
  <si>
    <r>
      <t>第</t>
    </r>
    <r>
      <rPr>
        <sz val="10"/>
        <rFont val="Arial"/>
        <family val="2"/>
      </rPr>
      <t>3</t>
    </r>
    <r>
      <rPr>
        <sz val="10"/>
        <rFont val="mspgothic"/>
        <family val="2"/>
      </rPr>
      <t>段</t>
    </r>
  </si>
  <si>
    <t>１／８（＝１／Ｎ）を掛けて順番入れ替え</t>
  </si>
  <si>
    <t>(hz)</t>
  </si>
  <si>
    <t>変数</t>
  </si>
  <si>
    <t>実部</t>
  </si>
  <si>
    <t>虚部</t>
  </si>
  <si>
    <t>周波数</t>
  </si>
  <si>
    <t>振幅</t>
  </si>
  <si>
    <t>S0</t>
  </si>
  <si>
    <t>G0</t>
  </si>
  <si>
    <t>S1</t>
  </si>
  <si>
    <t>G1</t>
  </si>
  <si>
    <t>S2</t>
  </si>
  <si>
    <t>G2</t>
  </si>
  <si>
    <t>S3</t>
  </si>
  <si>
    <t>G3</t>
  </si>
  <si>
    <t>S4</t>
  </si>
  <si>
    <t>G4</t>
  </si>
  <si>
    <t>S5</t>
  </si>
  <si>
    <t>G5</t>
  </si>
  <si>
    <t>S6</t>
  </si>
  <si>
    <t>G6</t>
  </si>
  <si>
    <t>S7</t>
  </si>
  <si>
    <t>G7</t>
  </si>
  <si>
    <r>
      <t>第</t>
    </r>
    <r>
      <rPr>
        <sz val="10"/>
        <rFont val="Arial"/>
        <family val="2"/>
      </rPr>
      <t>2</t>
    </r>
    <r>
      <rPr>
        <sz val="10"/>
        <rFont val="mspgothic"/>
        <family val="2"/>
      </rPr>
      <t>段階</t>
    </r>
  </si>
  <si>
    <r>
      <t>第</t>
    </r>
    <r>
      <rPr>
        <sz val="10"/>
        <rFont val="Arial"/>
        <family val="2"/>
      </rPr>
      <t>3</t>
    </r>
    <r>
      <rPr>
        <sz val="10"/>
        <rFont val="mspgothic"/>
        <family val="2"/>
      </rPr>
      <t>段階</t>
    </r>
  </si>
  <si>
    <r>
      <t>第</t>
    </r>
    <r>
      <rPr>
        <sz val="10"/>
        <rFont val="Arial"/>
        <family val="2"/>
      </rPr>
      <t>4</t>
    </r>
    <r>
      <rPr>
        <sz val="10"/>
        <rFont val="mspgothic"/>
        <family val="2"/>
      </rPr>
      <t>段階</t>
    </r>
  </si>
  <si>
    <r>
      <t>第</t>
    </r>
    <r>
      <rPr>
        <sz val="10"/>
        <rFont val="Arial"/>
        <family val="2"/>
      </rPr>
      <t>5</t>
    </r>
    <r>
      <rPr>
        <sz val="10"/>
        <rFont val="mspgothic"/>
        <family val="2"/>
      </rPr>
      <t>段階</t>
    </r>
  </si>
  <si>
    <r>
      <t>第</t>
    </r>
    <r>
      <rPr>
        <sz val="10"/>
        <rFont val="Arial"/>
        <family val="2"/>
      </rPr>
      <t>6</t>
    </r>
    <r>
      <rPr>
        <sz val="10"/>
        <rFont val="mspgothic"/>
        <family val="2"/>
      </rPr>
      <t>段階</t>
    </r>
  </si>
  <si>
    <r>
      <t>１／</t>
    </r>
    <r>
      <rPr>
        <sz val="10"/>
        <rFont val="Arial"/>
        <family val="2"/>
      </rPr>
      <t>64</t>
    </r>
    <r>
      <rPr>
        <sz val="10"/>
        <rFont val="mspgothic"/>
        <family val="2"/>
      </rPr>
      <t>（＝１／Ｎ）を掛けて順番入れ替え</t>
    </r>
  </si>
  <si>
    <t>S8</t>
  </si>
  <si>
    <t>G8</t>
  </si>
  <si>
    <t>S9</t>
  </si>
  <si>
    <t>G9</t>
  </si>
  <si>
    <t>S10</t>
  </si>
  <si>
    <t>G10</t>
  </si>
  <si>
    <t>S11</t>
  </si>
  <si>
    <t>G11</t>
  </si>
  <si>
    <t>S12</t>
  </si>
  <si>
    <t>G12</t>
  </si>
  <si>
    <t>S13</t>
  </si>
  <si>
    <t>G13</t>
  </si>
  <si>
    <t>S14</t>
  </si>
  <si>
    <t>G14</t>
  </si>
  <si>
    <t>S15</t>
  </si>
  <si>
    <t>G15</t>
  </si>
  <si>
    <t>S16</t>
  </si>
  <si>
    <t>G16</t>
  </si>
  <si>
    <t>S17</t>
  </si>
  <si>
    <t>G17</t>
  </si>
  <si>
    <t>S18</t>
  </si>
  <si>
    <t>G18</t>
  </si>
  <si>
    <t>S19</t>
  </si>
  <si>
    <t>G19</t>
  </si>
  <si>
    <t>S20</t>
  </si>
  <si>
    <t>G20</t>
  </si>
  <si>
    <t>S21</t>
  </si>
  <si>
    <t>G21</t>
  </si>
  <si>
    <t>S22</t>
  </si>
  <si>
    <t>G22</t>
  </si>
  <si>
    <t>S23</t>
  </si>
  <si>
    <t>G23</t>
  </si>
  <si>
    <t>S24</t>
  </si>
  <si>
    <t>G24</t>
  </si>
  <si>
    <t>S25</t>
  </si>
  <si>
    <t>G25</t>
  </si>
  <si>
    <t>S26</t>
  </si>
  <si>
    <t>G26</t>
  </si>
  <si>
    <t>S27</t>
  </si>
  <si>
    <t>G27</t>
  </si>
  <si>
    <t>S28</t>
  </si>
  <si>
    <t>G28</t>
  </si>
  <si>
    <t>S29</t>
  </si>
  <si>
    <t>G29</t>
  </si>
  <si>
    <t>S30</t>
  </si>
  <si>
    <t>G30</t>
  </si>
  <si>
    <t>S31</t>
  </si>
  <si>
    <t>G31</t>
  </si>
  <si>
    <t>S32</t>
  </si>
  <si>
    <t>G32</t>
  </si>
  <si>
    <t>S33</t>
  </si>
  <si>
    <t>G33</t>
  </si>
  <si>
    <t>S34</t>
  </si>
  <si>
    <t>G34</t>
  </si>
  <si>
    <t>S35</t>
  </si>
  <si>
    <t>G35</t>
  </si>
  <si>
    <t>S36</t>
  </si>
  <si>
    <t>G36</t>
  </si>
  <si>
    <t>S37</t>
  </si>
  <si>
    <t>G37</t>
  </si>
  <si>
    <t>S38</t>
  </si>
  <si>
    <t>G38</t>
  </si>
  <si>
    <t>S39</t>
  </si>
  <si>
    <t>G39</t>
  </si>
  <si>
    <t>S40</t>
  </si>
  <si>
    <t>G40</t>
  </si>
  <si>
    <t>S41</t>
  </si>
  <si>
    <t>G41</t>
  </si>
  <si>
    <t>S42</t>
  </si>
  <si>
    <t>G42</t>
  </si>
  <si>
    <t>S43</t>
  </si>
  <si>
    <t>G43</t>
  </si>
  <si>
    <t>S44</t>
  </si>
  <si>
    <t>G44</t>
  </si>
  <si>
    <t>S45</t>
  </si>
  <si>
    <t>G45</t>
  </si>
  <si>
    <t>S46</t>
  </si>
  <si>
    <t>G46</t>
  </si>
  <si>
    <t>S47</t>
  </si>
  <si>
    <t>G47</t>
  </si>
  <si>
    <t>S48</t>
  </si>
  <si>
    <t>G48</t>
  </si>
  <si>
    <t>S49</t>
  </si>
  <si>
    <t>G49</t>
  </si>
  <si>
    <t>S50</t>
  </si>
  <si>
    <t>G50</t>
  </si>
  <si>
    <t>S51</t>
  </si>
  <si>
    <t>G51</t>
  </si>
  <si>
    <t>S52</t>
  </si>
  <si>
    <t>G52</t>
  </si>
  <si>
    <t>S53</t>
  </si>
  <si>
    <t>G53</t>
  </si>
  <si>
    <t>S54</t>
  </si>
  <si>
    <t>G54</t>
  </si>
  <si>
    <t>S55</t>
  </si>
  <si>
    <t>G55</t>
  </si>
  <si>
    <t>S56</t>
  </si>
  <si>
    <t>G56</t>
  </si>
  <si>
    <t>S57</t>
  </si>
  <si>
    <t>G57</t>
  </si>
  <si>
    <t>S58</t>
  </si>
  <si>
    <t>G58</t>
  </si>
  <si>
    <t>S59</t>
  </si>
  <si>
    <t>G59</t>
  </si>
  <si>
    <t>S60</t>
  </si>
  <si>
    <t>G60</t>
  </si>
  <si>
    <t>S61</t>
  </si>
  <si>
    <t>G61</t>
  </si>
  <si>
    <t>S62</t>
  </si>
  <si>
    <t>G62</t>
  </si>
  <si>
    <t>S63</t>
  </si>
  <si>
    <t>G63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</si>
</sst>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mspgothic"/>
      <family val="2"/>
    </font>
    <font>
      <sz val="10"/>
      <name val="Arial"/>
      <family val="0"/>
    </font>
    <font>
      <sz val="8"/>
      <color indexed="8"/>
      <name val="mspgothic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7" borderId="0" xfId="0" applyFont="1" applyFill="1" applyAlignment="1">
      <alignment/>
    </xf>
    <xf numFmtId="164" fontId="1" fillId="8" borderId="0" xfId="0" applyFont="1" applyFill="1" applyAlignment="1">
      <alignment/>
    </xf>
    <xf numFmtId="164" fontId="0" fillId="9" borderId="0" xfId="0" applyFont="1" applyFill="1" applyAlignment="1">
      <alignment/>
    </xf>
    <xf numFmtId="164" fontId="0" fillId="10" borderId="0" xfId="0" applyFont="1" applyFill="1" applyAlignment="1">
      <alignment/>
    </xf>
    <xf numFmtId="164" fontId="0" fillId="11" borderId="0" xfId="0" applyFont="1" applyFill="1" applyAlignment="1">
      <alignment/>
    </xf>
    <xf numFmtId="164" fontId="0" fillId="12" borderId="0" xfId="0" applyFont="1" applyFill="1" applyAlignment="1">
      <alignment/>
    </xf>
    <xf numFmtId="164" fontId="0" fillId="13" borderId="0" xfId="0" applyFont="1" applyFill="1" applyAlignment="1">
      <alignment/>
    </xf>
    <xf numFmtId="164" fontId="0" fillId="14" borderId="0" xfId="0" applyFont="1" applyFill="1" applyAlignment="1">
      <alignment/>
    </xf>
    <xf numFmtId="164" fontId="1" fillId="9" borderId="0" xfId="0" applyFont="1" applyFill="1" applyAlignment="1">
      <alignment/>
    </xf>
    <xf numFmtId="165" fontId="1" fillId="0" borderId="0" xfId="0" applyNumberFormat="1" applyFont="1" applyAlignment="1">
      <alignment/>
    </xf>
    <xf numFmtId="164" fontId="1" fillId="13" borderId="0" xfId="0" applyFont="1" applyFill="1" applyAlignment="1">
      <alignment/>
    </xf>
    <xf numFmtId="164" fontId="0" fillId="15" borderId="0" xfId="0" applyFont="1" applyFill="1" applyAlignment="1">
      <alignment/>
    </xf>
    <xf numFmtId="164" fontId="0" fillId="16" borderId="0" xfId="0" applyFont="1" applyFill="1" applyAlignment="1">
      <alignment/>
    </xf>
    <xf numFmtId="164" fontId="0" fillId="17" borderId="0" xfId="0" applyFont="1" applyFill="1" applyAlignment="1">
      <alignment/>
    </xf>
    <xf numFmtId="164" fontId="0" fillId="18" borderId="0" xfId="0" applyFont="1" applyFill="1" applyAlignment="1">
      <alignment/>
    </xf>
    <xf numFmtId="165" fontId="1" fillId="14" borderId="0" xfId="0" applyNumberFormat="1" applyFont="1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CCCCC"/>
      <rgbColor rgb="007DA647"/>
      <rgbColor rgb="009999FF"/>
      <rgbColor rgb="00944794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B3B3B3"/>
      <rgbColor rgb="00FF99CC"/>
      <rgbColor rgb="009966CC"/>
      <rgbColor rgb="00FFCC99"/>
      <rgbColor rgb="003366FF"/>
      <rgbColor rgb="0033CC66"/>
      <rgbColor rgb="0094BD5E"/>
      <rgbColor rgb="00FFCC00"/>
      <rgbColor rgb="00FF9900"/>
      <rgbColor rgb="00FF6633"/>
      <rgbColor rgb="00666699"/>
      <rgbColor rgb="009999CC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'FFT_周波数間引_8samples'!$N$4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'FFT_周波数間引_8samples'!$M$5:$M$9</c:f>
              <c:numCache/>
            </c:numRef>
          </c:cat>
          <c:val>
            <c:numRef>
              <c:f>'FFT_周波数間引_8samples'!$N$5:$N$9</c:f>
              <c:numCache/>
            </c:numRef>
          </c:val>
          <c:smooth val="0"/>
        </c:ser>
        <c:marker val="1"/>
        <c:axId val="43822122"/>
        <c:axId val="58854779"/>
      </c:lineChart>
      <c:catAx>
        <c:axId val="4382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pgothic"/>
                <a:ea typeface="mspgothic"/>
                <a:cs typeface="mspgothic"/>
              </a:defRPr>
            </a:pPr>
          </a:p>
        </c:txPr>
        <c:crossAx val="58854779"/>
        <c:crosses val="autoZero"/>
        <c:auto val="1"/>
        <c:lblOffset val="100"/>
        <c:noMultiLvlLbl val="0"/>
      </c:catAx>
      <c:valAx>
        <c:axId val="5885477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pgothic"/>
                <a:ea typeface="mspgothic"/>
                <a:cs typeface="mspgothic"/>
              </a:defRPr>
            </a:pPr>
          </a:p>
        </c:txPr>
        <c:crossAx val="4382212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mspgothic"/>
              <a:ea typeface="mspgothic"/>
              <a:cs typeface="mspgothic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'FFT_周波数間引_64samples'!$S$5:$S$37</c:f>
              <c:numCache/>
            </c:numRef>
          </c:cat>
          <c:val>
            <c:numRef>
              <c:f>'FFT_周波数間引_64samples'!$T$5:$T$37</c:f>
              <c:numCache/>
            </c:numRef>
          </c:val>
          <c:smooth val="0"/>
        </c:ser>
        <c:marker val="1"/>
        <c:axId val="59930964"/>
        <c:axId val="2507765"/>
      </c:lineChart>
      <c:catAx>
        <c:axId val="5993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pgothic"/>
                <a:ea typeface="mspgothic"/>
                <a:cs typeface="mspgothic"/>
              </a:defRPr>
            </a:pPr>
          </a:p>
        </c:txPr>
        <c:crossAx val="2507765"/>
        <c:crosses val="autoZero"/>
        <c:auto val="1"/>
        <c:lblOffset val="100"/>
        <c:noMultiLvlLbl val="0"/>
      </c:catAx>
      <c:valAx>
        <c:axId val="250776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pgothic"/>
                <a:ea typeface="mspgothic"/>
                <a:cs typeface="mspgothic"/>
              </a:defRPr>
            </a:pPr>
          </a:p>
        </c:txPr>
        <c:crossAx val="5993096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mspgothic"/>
              <a:ea typeface="mspgothic"/>
              <a:cs typeface="mspgothic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15</xdr:row>
      <xdr:rowOff>123825</xdr:rowOff>
    </xdr:from>
    <xdr:to>
      <xdr:col>12</xdr:col>
      <xdr:colOff>295275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5095875" y="2552700"/>
        <a:ext cx="69723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70</xdr:row>
      <xdr:rowOff>19050</xdr:rowOff>
    </xdr:from>
    <xdr:to>
      <xdr:col>15</xdr:col>
      <xdr:colOff>47625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3971925" y="11353800"/>
        <a:ext cx="107918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B13" sqref="B13"/>
    </sheetView>
  </sheetViews>
  <sheetFormatPr defaultColWidth="13.00390625" defaultRowHeight="12.75"/>
  <cols>
    <col min="1" max="16384" width="12.875" style="0" customWidth="1"/>
  </cols>
  <sheetData>
    <row r="1" spans="1:13" ht="12.75">
      <c r="A1" s="1" t="s">
        <v>0</v>
      </c>
      <c r="B1" s="1"/>
      <c r="C1" s="2">
        <v>1000</v>
      </c>
      <c r="D1" s="2" t="s">
        <v>1</v>
      </c>
      <c r="E1" s="1" t="s">
        <v>2</v>
      </c>
      <c r="F1" s="1"/>
      <c r="G1" s="2">
        <f>C1/2</f>
        <v>500</v>
      </c>
      <c r="H1" s="2" t="s">
        <v>3</v>
      </c>
      <c r="I1" s="1" t="s">
        <v>4</v>
      </c>
      <c r="J1" s="2">
        <v>8</v>
      </c>
      <c r="K1" s="3" t="s">
        <v>5</v>
      </c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2.75">
      <c r="A3" s="4" t="s">
        <v>6</v>
      </c>
      <c r="B3" s="4" t="s">
        <v>7</v>
      </c>
      <c r="C3" s="4"/>
      <c r="D3" s="5" t="s">
        <v>8</v>
      </c>
      <c r="E3" s="5"/>
      <c r="F3" s="6" t="s">
        <v>9</v>
      </c>
      <c r="G3" s="6"/>
      <c r="H3" s="7" t="s">
        <v>10</v>
      </c>
      <c r="I3" s="7"/>
      <c r="J3" s="8" t="s">
        <v>11</v>
      </c>
      <c r="K3" s="8"/>
      <c r="L3" s="8"/>
      <c r="M3" s="9" t="s">
        <v>12</v>
      </c>
      <c r="N3" s="9"/>
    </row>
    <row r="4" spans="1:14" ht="12.75">
      <c r="A4" s="10" t="s">
        <v>13</v>
      </c>
      <c r="B4" s="10" t="s">
        <v>14</v>
      </c>
      <c r="C4" s="10" t="s">
        <v>15</v>
      </c>
      <c r="D4" s="11" t="s">
        <v>14</v>
      </c>
      <c r="E4" s="11" t="s">
        <v>15</v>
      </c>
      <c r="F4" s="12" t="s">
        <v>14</v>
      </c>
      <c r="G4" s="12" t="s">
        <v>15</v>
      </c>
      <c r="H4" s="13" t="s">
        <v>14</v>
      </c>
      <c r="I4" s="13" t="s">
        <v>15</v>
      </c>
      <c r="J4" s="14" t="s">
        <v>14</v>
      </c>
      <c r="K4" s="14" t="s">
        <v>15</v>
      </c>
      <c r="L4" s="14" t="s">
        <v>13</v>
      </c>
      <c r="M4" s="15" t="s">
        <v>16</v>
      </c>
      <c r="N4" s="15" t="s">
        <v>17</v>
      </c>
    </row>
    <row r="5" spans="1:14" ht="12.75">
      <c r="A5" s="16" t="s">
        <v>18</v>
      </c>
      <c r="B5" s="17">
        <f>SIN(2*PI()/8*2)</f>
        <v>1</v>
      </c>
      <c r="C5" s="17">
        <v>0</v>
      </c>
      <c r="D5" s="17">
        <f>B5+B9</f>
        <v>0</v>
      </c>
      <c r="E5" s="17">
        <f>C5+C9</f>
        <v>0</v>
      </c>
      <c r="F5" s="17">
        <f>D5+D7</f>
        <v>1.2246467991473532E-16</v>
      </c>
      <c r="G5" s="17">
        <f>E5+E7</f>
        <v>0</v>
      </c>
      <c r="H5" s="17">
        <f>F5+F6</f>
        <v>1.2246467991473532E-16</v>
      </c>
      <c r="I5" s="17">
        <f>G5+G6</f>
        <v>0</v>
      </c>
      <c r="J5" s="17">
        <f>H5/$J$1</f>
        <v>1.5308084989341915E-17</v>
      </c>
      <c r="K5" s="17">
        <f>I5/$J$1</f>
        <v>0</v>
      </c>
      <c r="L5" s="18" t="s">
        <v>19</v>
      </c>
      <c r="M5" s="15">
        <f>M6-$C$1/$J$1</f>
        <v>0</v>
      </c>
      <c r="N5" s="17">
        <f>SQRT(J5^2+K5^2)</f>
        <v>1.5308084989341915E-17</v>
      </c>
    </row>
    <row r="6" spans="1:14" ht="12.75">
      <c r="A6" s="16" t="s">
        <v>20</v>
      </c>
      <c r="B6" s="17">
        <f>SIN(2*PI()/8*3)</f>
        <v>0.7071067811865476</v>
      </c>
      <c r="C6" s="17">
        <v>0</v>
      </c>
      <c r="D6" s="17">
        <f>B6+B10</f>
        <v>0</v>
      </c>
      <c r="E6" s="17">
        <f>C6+C10</f>
        <v>0</v>
      </c>
      <c r="F6" s="17">
        <f>D6+D8</f>
        <v>0</v>
      </c>
      <c r="G6" s="17">
        <f>E6+E8</f>
        <v>0</v>
      </c>
      <c r="H6" s="17">
        <f>(F5-F6)*COS(2*PI()/2*0)+(G5-G6)*SIN(2*PI()/2*0)</f>
        <v>1.2246467991473532E-16</v>
      </c>
      <c r="I6" s="17">
        <f>-(F5-F6)*SIN(2*PI()/2*0)+(G5-G6)*COS(2*PI()/2*0)</f>
        <v>0</v>
      </c>
      <c r="J6" s="17">
        <f>H9/$J$1</f>
        <v>0.5</v>
      </c>
      <c r="K6" s="17">
        <f>I9/$J$1</f>
        <v>-1.5308084989341915E-17</v>
      </c>
      <c r="L6" s="18" t="s">
        <v>21</v>
      </c>
      <c r="M6" s="15">
        <f>M7-$C$1/$J$1</f>
        <v>125</v>
      </c>
      <c r="N6" s="17">
        <f>SQRT(J6^2+K6^2)</f>
        <v>0.5</v>
      </c>
    </row>
    <row r="7" spans="1:14" ht="12.75">
      <c r="A7" s="16" t="s">
        <v>22</v>
      </c>
      <c r="B7" s="17">
        <f>SIN(2*PI()/8*4)</f>
        <v>1.2246467991473532E-16</v>
      </c>
      <c r="C7" s="17">
        <v>0</v>
      </c>
      <c r="D7" s="17">
        <f>B7+B11</f>
        <v>1.2246467991473532E-16</v>
      </c>
      <c r="E7" s="17">
        <f>C7+C11</f>
        <v>0</v>
      </c>
      <c r="F7" s="17">
        <f>(D5-D7)*COS(2*PI()/4*0)+(E5-E7)*SIN(2*PI()/4*0)</f>
        <v>-1.2246467991473532E-16</v>
      </c>
      <c r="G7" s="17">
        <f>-(D5-D7)*SIN(2*PI()/4*0)+(E5-E7)*COS(2*PI()/4*0)</f>
        <v>0</v>
      </c>
      <c r="H7" s="17">
        <f>F7+F8</f>
        <v>-1.2246467991473532E-16</v>
      </c>
      <c r="I7" s="17">
        <f>G7+G8</f>
        <v>0</v>
      </c>
      <c r="J7" s="17">
        <f>H7/$J$1</f>
        <v>-1.5308084989341915E-17</v>
      </c>
      <c r="K7" s="17">
        <f>I7/$J$1</f>
        <v>0</v>
      </c>
      <c r="L7" s="18" t="s">
        <v>23</v>
      </c>
      <c r="M7" s="15">
        <f>M8-$C$1/$J$1</f>
        <v>250</v>
      </c>
      <c r="N7" s="17">
        <f>SQRT(J7^2+K7^2)</f>
        <v>1.5308084989341915E-17</v>
      </c>
    </row>
    <row r="8" spans="1:14" ht="12.75">
      <c r="A8" s="16" t="s">
        <v>24</v>
      </c>
      <c r="B8" s="17">
        <f>SIN(2*PI()/8*5)</f>
        <v>-0.7071067811865475</v>
      </c>
      <c r="C8" s="17">
        <v>0</v>
      </c>
      <c r="D8" s="17">
        <f>B8+B12</f>
        <v>0</v>
      </c>
      <c r="E8" s="17">
        <f>C8+C12</f>
        <v>0</v>
      </c>
      <c r="F8" s="17">
        <f>(D6-D8)*COS(2*PI()/4*1)+(E6-E8)*SIN(2*PI()/4*1)</f>
        <v>0</v>
      </c>
      <c r="G8" s="17">
        <f>-(D6-D8)*SIN(2*PI()/4*1)+(E6-E8)*COS(2*PI()/4*1)</f>
        <v>0</v>
      </c>
      <c r="H8" s="17">
        <f>(F7-F8)*COS(2*PI()/2*0)+(G7-G8)*SIN(2*PI()/2*0)</f>
        <v>-1.2246467991473532E-16</v>
      </c>
      <c r="I8" s="17">
        <f>-(F7-F8)*SIN(2*PI()/2*0)+(G7-G8)*COS(2*PI()/2*0)</f>
        <v>0</v>
      </c>
      <c r="J8" s="17">
        <f>H11/$J$1</f>
        <v>0</v>
      </c>
      <c r="K8" s="17">
        <f>I11/$J$1</f>
        <v>0</v>
      </c>
      <c r="L8" s="18" t="s">
        <v>25</v>
      </c>
      <c r="M8" s="15">
        <f>M9-$C$1/$J$1</f>
        <v>375</v>
      </c>
      <c r="N8" s="17">
        <f>SQRT(J8^2+K8^2)</f>
        <v>0</v>
      </c>
    </row>
    <row r="9" spans="1:14" ht="12.75">
      <c r="A9" s="16" t="s">
        <v>26</v>
      </c>
      <c r="B9" s="17">
        <f>SIN(2*PI()/8*6)</f>
        <v>-1</v>
      </c>
      <c r="C9" s="17">
        <v>0</v>
      </c>
      <c r="D9" s="17">
        <f>(B5-B9)*COS(2*PI()/8*0)+(C5-C9)*SIN(2*PI()/8*0)</f>
        <v>2</v>
      </c>
      <c r="E9" s="17">
        <f>-(B5-B9)*SIN(2*PI()/8*0)+(C5-C9)*COS(2*PI()/8*0)</f>
        <v>0</v>
      </c>
      <c r="F9" s="17">
        <f>D9+D11</f>
        <v>2</v>
      </c>
      <c r="G9" s="17">
        <f>E9+E11</f>
        <v>-1.2246467991473532E-16</v>
      </c>
      <c r="H9" s="17">
        <f>F9+F10</f>
        <v>4</v>
      </c>
      <c r="I9" s="17">
        <f>G9+G10</f>
        <v>-1.2246467991473532E-16</v>
      </c>
      <c r="J9" s="17">
        <f>H6/$J$1</f>
        <v>1.5308084989341915E-17</v>
      </c>
      <c r="K9" s="17">
        <f>I6/$J$1</f>
        <v>0</v>
      </c>
      <c r="L9" s="18" t="s">
        <v>27</v>
      </c>
      <c r="M9" s="15">
        <f>G1</f>
        <v>500</v>
      </c>
      <c r="N9" s="17">
        <f>SQRT(J9^2+K9^2)</f>
        <v>1.5308084989341915E-17</v>
      </c>
    </row>
    <row r="10" spans="1:14" ht="12.75">
      <c r="A10" s="16" t="s">
        <v>28</v>
      </c>
      <c r="B10" s="17">
        <f>SIN(2*PI()/8*7)</f>
        <v>-0.7071067811865477</v>
      </c>
      <c r="C10" s="17">
        <v>0</v>
      </c>
      <c r="D10" s="17">
        <f>(B6-B10)*COS(2*PI()/8*1)+(C6-C10)*SIN(2*PI()/8*1)</f>
        <v>1.0000000000000002</v>
      </c>
      <c r="E10" s="17">
        <f>-(B6-B10)*SIN(2*PI()/8*1)+(C6-C10)*COS(2*PI()/8*1)</f>
        <v>-1.0000000000000002</v>
      </c>
      <c r="F10" s="17">
        <f>D10+D12</f>
        <v>2</v>
      </c>
      <c r="G10" s="17">
        <f>E10+E12</f>
        <v>0</v>
      </c>
      <c r="H10" s="17">
        <f>(F9-F10)*COS(2*PI()/2*0)+(G9-G10)*SIN(2*PI()/2*0)</f>
        <v>0</v>
      </c>
      <c r="I10" s="17">
        <f>-(F9-F10)*SIN(2*PI()/2*0)+(G9-G10)*COS(2*PI()/2*0)</f>
        <v>-1.2246467991473532E-16</v>
      </c>
      <c r="J10" s="17">
        <f>H10/$J$1</f>
        <v>0</v>
      </c>
      <c r="K10" s="17">
        <f>I10/$J$1</f>
        <v>-1.5308084989341915E-17</v>
      </c>
      <c r="L10" s="18" t="s">
        <v>29</v>
      </c>
      <c r="N10" s="17">
        <f>SQRT(J10^2+K10^2)</f>
        <v>1.5308084989341915E-17</v>
      </c>
    </row>
    <row r="11" spans="1:14" ht="12.75">
      <c r="A11" s="16" t="s">
        <v>30</v>
      </c>
      <c r="B11" s="17">
        <f>SIN(2*PI()/8*0)</f>
        <v>0</v>
      </c>
      <c r="C11" s="17">
        <v>0</v>
      </c>
      <c r="D11" s="17">
        <f>(B7-B11)*COS(2*PI()/8*2)+(C7-C11)*SIN(2*PI()/8*2)</f>
        <v>7.498798913309288E-33</v>
      </c>
      <c r="E11" s="17">
        <f>-(B7-B11)*SIN(2*PI()/8*2)+(C7-C11)*COS(2*PI()/8*2)</f>
        <v>-1.2246467991473532E-16</v>
      </c>
      <c r="F11" s="17">
        <f>(D9-D11)*COS(2*PI()/4*0)+(E9-E11)*SIN(2*PI()/4*0)</f>
        <v>2</v>
      </c>
      <c r="G11" s="17">
        <f>-(D9-D11)*SIN(2*PI()/4*0)+(E9-E11)*COS(2*PI()/4*0)</f>
        <v>1.2246467991473532E-16</v>
      </c>
      <c r="H11" s="17">
        <f>F11+F12</f>
        <v>0</v>
      </c>
      <c r="I11" s="17">
        <f>G11+G12</f>
        <v>0</v>
      </c>
      <c r="J11" s="17">
        <f>H8/$J$1</f>
        <v>-1.5308084989341915E-17</v>
      </c>
      <c r="K11" s="17">
        <f>I8/$J$1</f>
        <v>0</v>
      </c>
      <c r="L11" s="18" t="s">
        <v>31</v>
      </c>
      <c r="N11" s="17">
        <f>SQRT(J11^2+K11^2)</f>
        <v>1.5308084989341915E-17</v>
      </c>
    </row>
    <row r="12" spans="1:14" ht="12.75">
      <c r="A12" s="16" t="s">
        <v>32</v>
      </c>
      <c r="B12" s="17">
        <f>SIN(2*PI()/8*1)</f>
        <v>0.7071067811865475</v>
      </c>
      <c r="C12" s="17">
        <v>0</v>
      </c>
      <c r="D12" s="17">
        <f>(B8-B12)*COS(2*PI()/8*3)+(C8-C12)*SIN(2*PI()/8*3)</f>
        <v>0.9999999999999998</v>
      </c>
      <c r="E12" s="17">
        <f>-(B8-B12)*SIN(2*PI()/8*3)+(C8-C12)*COS(2*PI()/8*3)</f>
        <v>1</v>
      </c>
      <c r="F12" s="17">
        <f>(D10-D12)*COS(2*PI()/4*1)+(E10-E12)*SIN(2*PI()/4*1)</f>
        <v>-2</v>
      </c>
      <c r="G12" s="17">
        <f>-(D10-D12)*SIN(2*PI()/4*1)+(E10-E12)*COS(2*PI()/4*1)</f>
        <v>-1.2246467991473532E-16</v>
      </c>
      <c r="H12" s="17">
        <f>(F11-F12)*COS(2*PI()/2*0)+(G11-G12)*SIN(2*PI()/2*0)</f>
        <v>4</v>
      </c>
      <c r="I12" s="17">
        <f>-(F11-F12)*SIN(2*PI()/2*0)+(G11-G12)*COS(2*PI()/2*0)</f>
        <v>2.4492935982947064E-16</v>
      </c>
      <c r="J12" s="17">
        <f>H12/$J$1</f>
        <v>0.5</v>
      </c>
      <c r="K12" s="17">
        <f>I12/$J$1</f>
        <v>3.061616997868383E-17</v>
      </c>
      <c r="L12" s="18" t="s">
        <v>33</v>
      </c>
      <c r="N12" s="17">
        <f>SQRT(J12^2+K12^2)</f>
        <v>0.5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47" sqref="A47"/>
      <selection pane="bottomRight" activeCell="C71" sqref="C71"/>
    </sheetView>
  </sheetViews>
  <sheetFormatPr defaultColWidth="13.00390625" defaultRowHeight="12.75"/>
  <cols>
    <col min="1" max="16384" width="12.875" style="0" customWidth="1"/>
  </cols>
  <sheetData>
    <row r="1" spans="1:19" ht="12.75">
      <c r="A1" s="1" t="s">
        <v>0</v>
      </c>
      <c r="B1" s="1"/>
      <c r="C1" s="2">
        <v>1200</v>
      </c>
      <c r="D1" s="2"/>
      <c r="E1" s="2"/>
      <c r="F1" s="2"/>
      <c r="G1" s="2"/>
      <c r="H1" s="2"/>
      <c r="I1" s="2"/>
      <c r="J1" s="2" t="s">
        <v>1</v>
      </c>
      <c r="K1" s="1" t="s">
        <v>2</v>
      </c>
      <c r="L1" s="1"/>
      <c r="M1" s="2">
        <f>C1/2</f>
        <v>600</v>
      </c>
      <c r="N1" s="2" t="s">
        <v>3</v>
      </c>
      <c r="O1" s="1" t="s">
        <v>4</v>
      </c>
      <c r="P1" s="2">
        <v>64</v>
      </c>
      <c r="Q1" s="3" t="s">
        <v>5</v>
      </c>
      <c r="R1" s="2"/>
      <c r="S1" s="2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12.75">
      <c r="A3" s="4" t="s">
        <v>6</v>
      </c>
      <c r="B3" s="4" t="s">
        <v>7</v>
      </c>
      <c r="C3" s="4"/>
      <c r="D3" s="7" t="s">
        <v>8</v>
      </c>
      <c r="E3" s="7"/>
      <c r="F3" s="19" t="s">
        <v>34</v>
      </c>
      <c r="G3" s="19"/>
      <c r="H3" s="20" t="s">
        <v>35</v>
      </c>
      <c r="I3" s="20"/>
      <c r="J3" s="5" t="s">
        <v>36</v>
      </c>
      <c r="K3" s="5"/>
      <c r="L3" s="6" t="s">
        <v>37</v>
      </c>
      <c r="M3" s="6"/>
      <c r="N3" s="7" t="s">
        <v>38</v>
      </c>
      <c r="O3" s="7"/>
      <c r="P3" s="8" t="s">
        <v>39</v>
      </c>
      <c r="Q3" s="8"/>
      <c r="R3" s="8"/>
      <c r="S3" s="9" t="s">
        <v>12</v>
      </c>
      <c r="T3" s="9"/>
    </row>
    <row r="4" spans="1:20" ht="12.75">
      <c r="A4" s="10" t="s">
        <v>13</v>
      </c>
      <c r="B4" s="10" t="s">
        <v>14</v>
      </c>
      <c r="C4" s="10" t="s">
        <v>15</v>
      </c>
      <c r="D4" s="13" t="s">
        <v>14</v>
      </c>
      <c r="E4" s="13" t="s">
        <v>15</v>
      </c>
      <c r="F4" s="21" t="s">
        <v>14</v>
      </c>
      <c r="G4" s="21" t="s">
        <v>15</v>
      </c>
      <c r="H4" s="22" t="s">
        <v>14</v>
      </c>
      <c r="I4" s="22" t="s">
        <v>15</v>
      </c>
      <c r="J4" s="11" t="s">
        <v>14</v>
      </c>
      <c r="K4" s="11" t="s">
        <v>15</v>
      </c>
      <c r="L4" s="12" t="s">
        <v>14</v>
      </c>
      <c r="M4" s="12" t="s">
        <v>15</v>
      </c>
      <c r="N4" s="13" t="s">
        <v>14</v>
      </c>
      <c r="O4" s="13" t="s">
        <v>15</v>
      </c>
      <c r="P4" s="14" t="s">
        <v>14</v>
      </c>
      <c r="Q4" s="14" t="s">
        <v>15</v>
      </c>
      <c r="R4" s="14" t="s">
        <v>13</v>
      </c>
      <c r="S4" s="15" t="s">
        <v>16</v>
      </c>
      <c r="T4" s="15" t="s">
        <v>17</v>
      </c>
    </row>
    <row r="5" spans="1:20" ht="12.75">
      <c r="A5" s="16" t="s">
        <v>18</v>
      </c>
      <c r="B5" s="17">
        <v>1</v>
      </c>
      <c r="C5" s="17">
        <v>0</v>
      </c>
      <c r="D5" s="17">
        <f>B5+B37</f>
        <v>0</v>
      </c>
      <c r="E5" s="17">
        <f>C5+C37</f>
        <v>0</v>
      </c>
      <c r="F5" s="17">
        <f>D5+D21</f>
        <v>0</v>
      </c>
      <c r="G5" s="17">
        <f>E5+E21</f>
        <v>0</v>
      </c>
      <c r="H5" s="17">
        <f>F5+F13</f>
        <v>0</v>
      </c>
      <c r="I5" s="17">
        <f>G5+G13</f>
        <v>0</v>
      </c>
      <c r="J5" s="17">
        <f>H5+H9</f>
        <v>0</v>
      </c>
      <c r="K5" s="17">
        <f>I5+I9</f>
        <v>0</v>
      </c>
      <c r="L5" s="17">
        <f>J5+J7</f>
        <v>0</v>
      </c>
      <c r="M5" s="17">
        <f>K5+K7</f>
        <v>0</v>
      </c>
      <c r="N5" s="17">
        <f>L5+L6</f>
        <v>0</v>
      </c>
      <c r="O5" s="17">
        <f>M5+M6</f>
        <v>0</v>
      </c>
      <c r="P5" s="17">
        <f>N5/$P$1</f>
        <v>0</v>
      </c>
      <c r="Q5" s="17">
        <f>O5/$P$1</f>
        <v>0</v>
      </c>
      <c r="R5" s="18" t="s">
        <v>19</v>
      </c>
      <c r="S5" s="23">
        <f>S6-$C$1/$P$1</f>
        <v>0</v>
      </c>
      <c r="T5" s="17">
        <f>SQRT(P5^2+Q5^2)</f>
        <v>0</v>
      </c>
    </row>
    <row r="6" spans="1:20" ht="12.75">
      <c r="A6" s="16" t="s">
        <v>20</v>
      </c>
      <c r="B6" s="17">
        <v>1</v>
      </c>
      <c r="C6" s="17">
        <v>0</v>
      </c>
      <c r="D6" s="17">
        <f>B6+B38</f>
        <v>0</v>
      </c>
      <c r="E6" s="17">
        <f>C6+C38</f>
        <v>0</v>
      </c>
      <c r="F6" s="17">
        <f>D6+D22</f>
        <v>0</v>
      </c>
      <c r="G6" s="17">
        <f>E6+E22</f>
        <v>0</v>
      </c>
      <c r="H6" s="17">
        <f>F6+F14</f>
        <v>0</v>
      </c>
      <c r="I6" s="17">
        <f>G6+G14</f>
        <v>0</v>
      </c>
      <c r="J6" s="17">
        <f>H6+H10</f>
        <v>0</v>
      </c>
      <c r="K6" s="17">
        <f>I6+I10</f>
        <v>0</v>
      </c>
      <c r="L6" s="17">
        <f>J6+J8</f>
        <v>0</v>
      </c>
      <c r="M6" s="17">
        <f>K6+K8</f>
        <v>0</v>
      </c>
      <c r="N6" s="17">
        <f>(L5-L6)*COS(2*PI()/2*0)+(M5-M6)*SIN(2*PI()/2*0)</f>
        <v>0</v>
      </c>
      <c r="O6" s="17">
        <f>-(L5-L6)*SIN(2*PI()/2*0)+(M5-M6)*COS(2*PI()/2*0)</f>
        <v>0</v>
      </c>
      <c r="P6" s="17">
        <f>N37/$P$1</f>
        <v>0.03125</v>
      </c>
      <c r="Q6" s="17">
        <f>O37/$P$1</f>
        <v>-0.6361083632808496</v>
      </c>
      <c r="R6" s="18" t="s">
        <v>21</v>
      </c>
      <c r="S6" s="23">
        <f>S7-$C$1/$P$1</f>
        <v>18.75</v>
      </c>
      <c r="T6" s="17">
        <f>SQRT(P6^2+Q6^2)</f>
        <v>0.6368755077217536</v>
      </c>
    </row>
    <row r="7" spans="1:20" ht="12.75">
      <c r="A7" s="16" t="s">
        <v>22</v>
      </c>
      <c r="B7" s="17">
        <v>1</v>
      </c>
      <c r="C7" s="17">
        <v>0</v>
      </c>
      <c r="D7" s="17">
        <f>B7+B39</f>
        <v>0</v>
      </c>
      <c r="E7" s="17">
        <f>C7+C39</f>
        <v>0</v>
      </c>
      <c r="F7" s="17">
        <f>D7+D23</f>
        <v>0</v>
      </c>
      <c r="G7" s="17">
        <f>E7+E23</f>
        <v>0</v>
      </c>
      <c r="H7" s="17">
        <f>F7+F15</f>
        <v>0</v>
      </c>
      <c r="I7" s="17">
        <f>G7+G15</f>
        <v>0</v>
      </c>
      <c r="J7" s="17">
        <f>H7+H11</f>
        <v>0</v>
      </c>
      <c r="K7" s="17">
        <f>I7+I11</f>
        <v>0</v>
      </c>
      <c r="L7" s="17">
        <f>(J5-J7)*COS(2*PI()/4*0)+(K5-K7)*SIN(2*PI()/4*0)</f>
        <v>0</v>
      </c>
      <c r="M7" s="17">
        <f>-(J5-J7)*SIN(2*PI()/4*0)+(K5-K7)*COS(2*PI()/4*0)</f>
        <v>0</v>
      </c>
      <c r="N7" s="17">
        <f>L7+L8</f>
        <v>0</v>
      </c>
      <c r="O7" s="17">
        <f>M7+M8</f>
        <v>0</v>
      </c>
      <c r="P7" s="17">
        <f>N21/$P$1</f>
        <v>0</v>
      </c>
      <c r="Q7" s="17">
        <f>O21/$P$1</f>
        <v>0</v>
      </c>
      <c r="R7" s="18" t="s">
        <v>23</v>
      </c>
      <c r="S7" s="23">
        <f>S8-$C$1/$P$1</f>
        <v>37.5</v>
      </c>
      <c r="T7" s="17">
        <f>SQRT(P7^2+Q7^2)</f>
        <v>0</v>
      </c>
    </row>
    <row r="8" spans="1:20" ht="12.75">
      <c r="A8" s="16" t="s">
        <v>24</v>
      </c>
      <c r="B8" s="17">
        <v>1</v>
      </c>
      <c r="C8" s="17">
        <v>0</v>
      </c>
      <c r="D8" s="17">
        <f>B8+B40</f>
        <v>0</v>
      </c>
      <c r="E8" s="17">
        <f>C8+C40</f>
        <v>0</v>
      </c>
      <c r="F8" s="17">
        <f>D8+D24</f>
        <v>0</v>
      </c>
      <c r="G8" s="17">
        <f>E8+E24</f>
        <v>0</v>
      </c>
      <c r="H8" s="17">
        <f>F8+F16</f>
        <v>0</v>
      </c>
      <c r="I8" s="17">
        <f>G8+G16</f>
        <v>0</v>
      </c>
      <c r="J8" s="17">
        <f>H8+H12</f>
        <v>0</v>
      </c>
      <c r="K8" s="17">
        <f>I8+I12</f>
        <v>0</v>
      </c>
      <c r="L8" s="17">
        <f>(J6-J8)*COS(2*PI()/4*1)+(K6-K8)*SIN(2*PI()/4*1)</f>
        <v>0</v>
      </c>
      <c r="M8" s="17">
        <f>-(J6-J8)*SIN(2*PI()/4*1)+(K6-K8)*COS(2*PI()/4*1)</f>
        <v>0</v>
      </c>
      <c r="N8" s="17">
        <f>(L7-L8)*COS(2*PI()/2*0)+(M7-M8)*SIN(2*PI()/2*0)</f>
        <v>0</v>
      </c>
      <c r="O8" s="17">
        <f>-(L7-L8)*SIN(2*PI()/2*0)+(M7-M8)*COS(2*PI()/2*0)</f>
        <v>0</v>
      </c>
      <c r="P8" s="17">
        <f>N53/$P$1</f>
        <v>0.03125</v>
      </c>
      <c r="Q8" s="17">
        <f>O53/$P$1</f>
        <v>-0.21067038766921842</v>
      </c>
      <c r="R8" s="18" t="s">
        <v>25</v>
      </c>
      <c r="S8" s="23">
        <f>S9-$C$1/$P$1</f>
        <v>56.25</v>
      </c>
      <c r="T8" s="17">
        <f>SQRT(P8^2+Q8^2)</f>
        <v>0.21297552615429496</v>
      </c>
    </row>
    <row r="9" spans="1:20" ht="12.75">
      <c r="A9" s="16" t="s">
        <v>26</v>
      </c>
      <c r="B9" s="17">
        <v>1</v>
      </c>
      <c r="C9" s="17">
        <v>0</v>
      </c>
      <c r="D9" s="17">
        <f>B9+B41</f>
        <v>0</v>
      </c>
      <c r="E9" s="17">
        <f>C9+C41</f>
        <v>0</v>
      </c>
      <c r="F9" s="17">
        <f>D9+D25</f>
        <v>0</v>
      </c>
      <c r="G9" s="17">
        <f>E9+E25</f>
        <v>0</v>
      </c>
      <c r="H9" s="17">
        <f>F9+F17</f>
        <v>0</v>
      </c>
      <c r="I9" s="17">
        <f>G9+G17</f>
        <v>0</v>
      </c>
      <c r="J9" s="17">
        <f>(H5-H9)*COS(2*PI()/8*0)+(I5-I9)*SIN(2*PI()/8*0)</f>
        <v>0</v>
      </c>
      <c r="K9" s="17">
        <f>-(H5-H9)*SIN(2*PI()/8*0)+(I5-I9)*COS(2*PI()/8*0)</f>
        <v>0</v>
      </c>
      <c r="L9" s="17">
        <f>J9+J11</f>
        <v>0</v>
      </c>
      <c r="M9" s="17">
        <f>K9+K11</f>
        <v>0</v>
      </c>
      <c r="N9" s="17">
        <f>L9+L10</f>
        <v>0</v>
      </c>
      <c r="O9" s="17">
        <f>M9+M10</f>
        <v>0</v>
      </c>
      <c r="P9" s="17">
        <f>N13/$P$1</f>
        <v>0</v>
      </c>
      <c r="Q9" s="17">
        <f>O13/$P$1</f>
        <v>0</v>
      </c>
      <c r="R9" s="18" t="s">
        <v>27</v>
      </c>
      <c r="S9" s="23">
        <f>S10-$C$1/$P$1</f>
        <v>75</v>
      </c>
      <c r="T9" s="17">
        <f>SQRT(P9^2+Q9^2)</f>
        <v>0</v>
      </c>
    </row>
    <row r="10" spans="1:20" ht="12.75">
      <c r="A10" s="16" t="s">
        <v>28</v>
      </c>
      <c r="B10" s="17">
        <v>1</v>
      </c>
      <c r="C10" s="17">
        <v>0</v>
      </c>
      <c r="D10" s="17">
        <f>B10+B42</f>
        <v>0</v>
      </c>
      <c r="E10" s="17">
        <f>C10+C42</f>
        <v>0</v>
      </c>
      <c r="F10" s="17">
        <f>D10+D26</f>
        <v>0</v>
      </c>
      <c r="G10" s="17">
        <f>E10+E26</f>
        <v>0</v>
      </c>
      <c r="H10" s="17">
        <f>F10+F18</f>
        <v>0</v>
      </c>
      <c r="I10" s="17">
        <f>G10+G18</f>
        <v>0</v>
      </c>
      <c r="J10" s="17">
        <f>(H6-H10)*COS(2*PI()/8*1)+(I6-I10)*SIN(2*PI()/8*1)</f>
        <v>0</v>
      </c>
      <c r="K10" s="17">
        <f>-(H6-H10)*SIN(2*PI()/8*1)+(I6-I10)*COS(2*PI()/8*1)</f>
        <v>0</v>
      </c>
      <c r="L10" s="17">
        <f>J10+J12</f>
        <v>0</v>
      </c>
      <c r="M10" s="17">
        <f>K10+K12</f>
        <v>0</v>
      </c>
      <c r="N10" s="17">
        <f>(L9-L10)*COS(2*PI()/2*0)+(M9-M10)*SIN(2*PI()/2*0)</f>
        <v>0</v>
      </c>
      <c r="O10" s="17">
        <f>-(L9-L10)*SIN(2*PI()/2*0)+(M9-M10)*COS(2*PI()/2*0)</f>
        <v>0</v>
      </c>
      <c r="P10" s="17">
        <f>N45/$P$1</f>
        <v>0.03125</v>
      </c>
      <c r="Q10" s="17">
        <f>O45/$P$1</f>
        <v>-0.12475699324281517</v>
      </c>
      <c r="R10" s="18" t="s">
        <v>29</v>
      </c>
      <c r="S10" s="23">
        <f>S11-$C$1/$P$1</f>
        <v>93.75</v>
      </c>
      <c r="T10" s="17">
        <f>SQRT(P10^2+Q10^2)</f>
        <v>0.12861131312208823</v>
      </c>
    </row>
    <row r="11" spans="1:20" ht="12.75">
      <c r="A11" s="16" t="s">
        <v>30</v>
      </c>
      <c r="B11" s="17">
        <v>1</v>
      </c>
      <c r="C11" s="17">
        <v>0</v>
      </c>
      <c r="D11" s="17">
        <f>B11+B43</f>
        <v>0</v>
      </c>
      <c r="E11" s="17">
        <f>C11+C43</f>
        <v>0</v>
      </c>
      <c r="F11" s="17">
        <f>D11+D27</f>
        <v>0</v>
      </c>
      <c r="G11" s="17">
        <f>E11+E27</f>
        <v>0</v>
      </c>
      <c r="H11" s="17">
        <f>F11+F19</f>
        <v>0</v>
      </c>
      <c r="I11" s="17">
        <f>G11+G19</f>
        <v>0</v>
      </c>
      <c r="J11" s="17">
        <f>(H7-H11)*COS(2*PI()/8*2)+(I7-I11)*SIN(2*PI()/8*2)</f>
        <v>0</v>
      </c>
      <c r="K11" s="17">
        <f>-(H7-H11)*SIN(2*PI()/8*2)+(I7-I11)*COS(2*PI()/8*2)</f>
        <v>0</v>
      </c>
      <c r="L11" s="17">
        <f>(J9-J11)*COS(2*PI()/4*0)+(K9-K11)*SIN(2*PI()/4*0)</f>
        <v>0</v>
      </c>
      <c r="M11" s="17">
        <f>-(J9-J11)*SIN(2*PI()/4*0)+(K9-K11)*COS(2*PI()/4*0)</f>
        <v>0</v>
      </c>
      <c r="N11" s="17">
        <f>L11+L12</f>
        <v>0</v>
      </c>
      <c r="O11" s="17">
        <f>M11+M12</f>
        <v>0</v>
      </c>
      <c r="P11" s="17">
        <f>N29/$P$1</f>
        <v>0</v>
      </c>
      <c r="Q11" s="17">
        <f>O29/$P$1</f>
        <v>0</v>
      </c>
      <c r="R11" s="18" t="s">
        <v>31</v>
      </c>
      <c r="S11" s="23">
        <f>S12-$C$1/$P$1</f>
        <v>112.5</v>
      </c>
      <c r="T11" s="17">
        <f>SQRT(P11^2+Q11^2)</f>
        <v>0</v>
      </c>
    </row>
    <row r="12" spans="1:20" ht="12.75">
      <c r="A12" s="16" t="s">
        <v>32</v>
      </c>
      <c r="B12" s="17">
        <v>1</v>
      </c>
      <c r="C12" s="17">
        <v>0</v>
      </c>
      <c r="D12" s="17">
        <f>B12+B44</f>
        <v>0</v>
      </c>
      <c r="E12" s="17">
        <f>C12+C44</f>
        <v>0</v>
      </c>
      <c r="F12" s="17">
        <f>D12+D28</f>
        <v>0</v>
      </c>
      <c r="G12" s="17">
        <f>E12+E28</f>
        <v>0</v>
      </c>
      <c r="H12" s="17">
        <f>F12+F20</f>
        <v>0</v>
      </c>
      <c r="I12" s="17">
        <f>G12+G20</f>
        <v>0</v>
      </c>
      <c r="J12" s="17">
        <f>(H8-H12)*COS(2*PI()/8*3)+(I8-I12)*SIN(2*PI()/8*3)</f>
        <v>0</v>
      </c>
      <c r="K12" s="17">
        <f>-(H8-H12)*SIN(2*PI()/8*3)+(I8-I12)*COS(2*PI()/8*3)</f>
        <v>0</v>
      </c>
      <c r="L12" s="17">
        <f>(J10-J12)*COS(2*PI()/4*1)+(K10-K12)*SIN(2*PI()/4*1)</f>
        <v>0</v>
      </c>
      <c r="M12" s="17">
        <f>-(J10-J12)*SIN(2*PI()/4*1)+(K10-K12)*COS(2*PI()/4*1)</f>
        <v>0</v>
      </c>
      <c r="N12" s="17">
        <f>(L11-L12)*COS(2*PI()/2*0)+(M11-M12)*SIN(2*PI()/2*0)</f>
        <v>0</v>
      </c>
      <c r="O12" s="17">
        <f>-(L11-L12)*SIN(2*PI()/2*0)+(M11-M12)*COS(2*PI()/2*0)</f>
        <v>0</v>
      </c>
      <c r="P12" s="17">
        <f>N61/$P$1</f>
        <v>0.031249999999999997</v>
      </c>
      <c r="Q12" s="17">
        <f>O61/$P$1</f>
        <v>-0.08733789914032744</v>
      </c>
      <c r="R12" s="18" t="s">
        <v>33</v>
      </c>
      <c r="S12" s="23">
        <f>S13-$C$1/$P$1</f>
        <v>131.25</v>
      </c>
      <c r="T12" s="17">
        <f>SQRT(P12^2+Q12^2)</f>
        <v>0.09276028851963543</v>
      </c>
    </row>
    <row r="13" spans="1:20" ht="12.75">
      <c r="A13" s="16" t="s">
        <v>40</v>
      </c>
      <c r="B13" s="17">
        <v>1</v>
      </c>
      <c r="C13" s="17">
        <v>0</v>
      </c>
      <c r="D13" s="17">
        <f>B13+B45</f>
        <v>0</v>
      </c>
      <c r="E13" s="17">
        <f>C13+C45</f>
        <v>0</v>
      </c>
      <c r="F13" s="17">
        <f>D13+D29</f>
        <v>0</v>
      </c>
      <c r="G13" s="17">
        <f>E13+E29</f>
        <v>0</v>
      </c>
      <c r="H13" s="17">
        <f>(F5-F13)*COS(2*PI()/16*0)+(G5-G13)*SIN(2*PI()/16*0)</f>
        <v>0</v>
      </c>
      <c r="I13" s="17">
        <f>-(F5-F13)*SIN(2*PI()/16*0)+(G5-G13)*COS(2*PI()/16*0)</f>
        <v>0</v>
      </c>
      <c r="J13" s="17">
        <f>H13+H17</f>
        <v>0</v>
      </c>
      <c r="K13" s="17">
        <f>I13+I17</f>
        <v>0</v>
      </c>
      <c r="L13" s="17">
        <f>J13+J15</f>
        <v>0</v>
      </c>
      <c r="M13" s="17">
        <f>K13+K15</f>
        <v>0</v>
      </c>
      <c r="N13" s="17">
        <f>L13+L14</f>
        <v>0</v>
      </c>
      <c r="O13" s="17">
        <f>M13+M14</f>
        <v>0</v>
      </c>
      <c r="P13" s="17">
        <f>N9/$P$1</f>
        <v>0</v>
      </c>
      <c r="Q13" s="17">
        <f>O9/$P$1</f>
        <v>0</v>
      </c>
      <c r="R13" s="18" t="s">
        <v>41</v>
      </c>
      <c r="S13" s="23">
        <f>S14-$C$1/$P$1</f>
        <v>150</v>
      </c>
      <c r="T13" s="17">
        <f>SQRT(P13^2+Q13^2)</f>
        <v>0</v>
      </c>
    </row>
    <row r="14" spans="1:20" ht="12.75">
      <c r="A14" s="16" t="s">
        <v>42</v>
      </c>
      <c r="B14" s="17">
        <v>1</v>
      </c>
      <c r="C14" s="17">
        <v>0</v>
      </c>
      <c r="D14" s="17">
        <f>B14+B46</f>
        <v>0</v>
      </c>
      <c r="E14" s="17">
        <f>C14+C46</f>
        <v>0</v>
      </c>
      <c r="F14" s="17">
        <f>D14+D30</f>
        <v>0</v>
      </c>
      <c r="G14" s="17">
        <f>E14+E30</f>
        <v>0</v>
      </c>
      <c r="H14" s="17">
        <f>(F6-F14)*COS(2*PI()/16*1)+(G6-G14)*SIN(2*PI()/16*1)</f>
        <v>0</v>
      </c>
      <c r="I14" s="17">
        <f>-(F6-F14)*SIN(2*PI()/16*1)+(G6-G14)*COS(2*PI()/16*1)</f>
        <v>0</v>
      </c>
      <c r="J14" s="17">
        <f>H14+H18</f>
        <v>0</v>
      </c>
      <c r="K14" s="17">
        <f>I14+I18</f>
        <v>0</v>
      </c>
      <c r="L14" s="17">
        <f>J14+J16</f>
        <v>0</v>
      </c>
      <c r="M14" s="17">
        <f>K14+K16</f>
        <v>0</v>
      </c>
      <c r="N14" s="17">
        <f>(L13-L14)*COS(2*PI()/2*0)+(M13-M14)*SIN(2*PI()/2*0)</f>
        <v>0</v>
      </c>
      <c r="O14" s="17">
        <f>-(L13-L14)*SIN(2*PI()/2*0)+(M13-M14)*COS(2*PI()/2*0)</f>
        <v>0</v>
      </c>
      <c r="P14" s="17">
        <f>N41/$P$1</f>
        <v>0.03125</v>
      </c>
      <c r="Q14" s="17">
        <f>O41/$P$1</f>
        <v>-0.066072573673395</v>
      </c>
      <c r="R14" s="18" t="s">
        <v>43</v>
      </c>
      <c r="S14" s="23">
        <f>S15-$C$1/$P$1</f>
        <v>168.75</v>
      </c>
      <c r="T14" s="17">
        <f>SQRT(P14^2+Q14^2)</f>
        <v>0.07308999583955529</v>
      </c>
    </row>
    <row r="15" spans="1:20" ht="12.75">
      <c r="A15" s="16" t="s">
        <v>44</v>
      </c>
      <c r="B15" s="17">
        <v>1</v>
      </c>
      <c r="C15" s="17">
        <v>0</v>
      </c>
      <c r="D15" s="17">
        <f>B15+B47</f>
        <v>0</v>
      </c>
      <c r="E15" s="17">
        <f>C15+C47</f>
        <v>0</v>
      </c>
      <c r="F15" s="17">
        <f>D15+D31</f>
        <v>0</v>
      </c>
      <c r="G15" s="17">
        <f>E15+E31</f>
        <v>0</v>
      </c>
      <c r="H15" s="17">
        <f>(F7-F15)*COS(2*PI()/16*2)+(G7-G15)*SIN(2*PI()/16*2)</f>
        <v>0</v>
      </c>
      <c r="I15" s="17">
        <f>-(F7-F15)*SIN(2*PI()/16*2)+(G7-G15)*COS(2*PI()/16*2)</f>
        <v>0</v>
      </c>
      <c r="J15" s="17">
        <f>H15+H19</f>
        <v>0</v>
      </c>
      <c r="K15" s="17">
        <f>I15+I19</f>
        <v>0</v>
      </c>
      <c r="L15" s="17">
        <f>(J13-J15)*COS(2*PI()/4*0)+(K13-K15)*SIN(2*PI()/4*0)</f>
        <v>0</v>
      </c>
      <c r="M15" s="17">
        <f>-(J13-J15)*SIN(2*PI()/4*0)+(K13-K15)*COS(2*PI()/4*0)</f>
        <v>0</v>
      </c>
      <c r="N15" s="17">
        <f>L15+L16</f>
        <v>0</v>
      </c>
      <c r="O15" s="17">
        <f>M15+M16</f>
        <v>0</v>
      </c>
      <c r="P15" s="17">
        <f>N25/$P$1</f>
        <v>0</v>
      </c>
      <c r="Q15" s="17">
        <f>O25/$P$1</f>
        <v>0</v>
      </c>
      <c r="R15" s="18" t="s">
        <v>45</v>
      </c>
      <c r="S15" s="23">
        <f>S16-$C$1/$P$1</f>
        <v>187.5</v>
      </c>
      <c r="T15" s="17">
        <f>SQRT(P15^2+Q15^2)</f>
        <v>0</v>
      </c>
    </row>
    <row r="16" spans="1:20" ht="12.75">
      <c r="A16" s="16" t="s">
        <v>46</v>
      </c>
      <c r="B16" s="17">
        <v>1</v>
      </c>
      <c r="C16" s="17">
        <v>0</v>
      </c>
      <c r="D16" s="17">
        <f>B16+B48</f>
        <v>0</v>
      </c>
      <c r="E16" s="17">
        <f>C16+C48</f>
        <v>0</v>
      </c>
      <c r="F16" s="17">
        <f>D16+D32</f>
        <v>0</v>
      </c>
      <c r="G16" s="17">
        <f>E16+E32</f>
        <v>0</v>
      </c>
      <c r="H16" s="17">
        <f>(F8-F16)*COS(2*PI()/16*3)+(G8-G16)*SIN(2*PI()/16*3)</f>
        <v>0</v>
      </c>
      <c r="I16" s="17">
        <f>-(F8-F16)*SIN(2*PI()/16*3)+(G8-G16)*COS(2*PI()/16*3)</f>
        <v>0</v>
      </c>
      <c r="J16" s="17">
        <f>H16+H20</f>
        <v>0</v>
      </c>
      <c r="K16" s="17">
        <f>I16+I20</f>
        <v>0</v>
      </c>
      <c r="L16" s="17">
        <f>(J14-J16)*COS(2*PI()/4*1)+(K14-K16)*SIN(2*PI()/4*1)</f>
        <v>0</v>
      </c>
      <c r="M16" s="17">
        <f>-(J14-J16)*SIN(2*PI()/4*1)+(K14-K16)*COS(2*PI()/4*1)</f>
        <v>0</v>
      </c>
      <c r="N16" s="17">
        <f>(L15-L16)*COS(2*PI()/2*0)+(M15-M16)*SIN(2*PI()/2*0)</f>
        <v>0</v>
      </c>
      <c r="O16" s="17">
        <f>-(L15-L16)*SIN(2*PI()/2*0)+(M15-M16)*COS(2*PI()/2*0)</f>
        <v>0</v>
      </c>
      <c r="P16" s="17">
        <f>N57/$P$1</f>
        <v>0.03125</v>
      </c>
      <c r="Q16" s="17">
        <f>O57/$P$1</f>
        <v>-0.052137475174484596</v>
      </c>
      <c r="R16" s="18" t="s">
        <v>47</v>
      </c>
      <c r="S16" s="23">
        <f>S17-$C$1/$P$1</f>
        <v>206.25</v>
      </c>
      <c r="T16" s="17">
        <f>SQRT(P16^2+Q16^2)</f>
        <v>0.06078551486637254</v>
      </c>
    </row>
    <row r="17" spans="1:20" ht="12.75">
      <c r="A17" s="16" t="s">
        <v>48</v>
      </c>
      <c r="B17" s="17">
        <v>1</v>
      </c>
      <c r="C17" s="17">
        <v>0</v>
      </c>
      <c r="D17" s="17">
        <f>B17+B49</f>
        <v>0</v>
      </c>
      <c r="E17" s="17">
        <f>C17+C49</f>
        <v>0</v>
      </c>
      <c r="F17" s="17">
        <f>D17+D33</f>
        <v>0</v>
      </c>
      <c r="G17" s="17">
        <f>E17+E33</f>
        <v>0</v>
      </c>
      <c r="H17" s="17">
        <f>(F9-F17)*COS(2*PI()/16*4)+(G9-G17)*SIN(2*PI()/16*4)</f>
        <v>0</v>
      </c>
      <c r="I17" s="17">
        <f>-(F9-F17)*SIN(2*PI()/16*4)+(G9-G17)*COS(2*PI()/16*4)</f>
        <v>0</v>
      </c>
      <c r="J17" s="17">
        <f>(H13-H17)*COS(2*PI()/8*0)+(I13-I17)*SIN(2*PI()/8*0)</f>
        <v>0</v>
      </c>
      <c r="K17" s="17">
        <f>-(H13-H17)*SIN(2*PI()/8*0)+(I13-I17)*COS(2*PI()/8*0)</f>
        <v>0</v>
      </c>
      <c r="L17" s="17">
        <f>J17+J19</f>
        <v>0</v>
      </c>
      <c r="M17" s="17">
        <f>K17+K19</f>
        <v>0</v>
      </c>
      <c r="N17" s="17">
        <f>L17+L18</f>
        <v>0</v>
      </c>
      <c r="O17" s="17">
        <f>M17+M18</f>
        <v>0</v>
      </c>
      <c r="P17" s="17">
        <f>N17/$P$1</f>
        <v>0</v>
      </c>
      <c r="Q17" s="17">
        <f>O17/$P$1</f>
        <v>0</v>
      </c>
      <c r="R17" s="18" t="s">
        <v>49</v>
      </c>
      <c r="S17" s="23">
        <f>S18-$C$1/$P$1</f>
        <v>225</v>
      </c>
      <c r="T17" s="17">
        <f>SQRT(P17^2+Q17^2)</f>
        <v>0</v>
      </c>
    </row>
    <row r="18" spans="1:20" ht="12.75">
      <c r="A18" s="16" t="s">
        <v>50</v>
      </c>
      <c r="B18" s="17">
        <v>1</v>
      </c>
      <c r="C18" s="17">
        <v>0</v>
      </c>
      <c r="D18" s="17">
        <f>B18+B50</f>
        <v>0</v>
      </c>
      <c r="E18" s="17">
        <f>C18+C50</f>
        <v>0</v>
      </c>
      <c r="F18" s="17">
        <f>D18+D34</f>
        <v>0</v>
      </c>
      <c r="G18" s="17">
        <f>E18+E34</f>
        <v>0</v>
      </c>
      <c r="H18" s="17">
        <f>(F10-F18)*COS(2*PI()/16*5)+(G10-G18)*SIN(2*PI()/16*5)</f>
        <v>0</v>
      </c>
      <c r="I18" s="17">
        <f>-(F10-F18)*SIN(2*PI()/16*5)+(G10-G18)*COS(2*PI()/16*5)</f>
        <v>0</v>
      </c>
      <c r="J18" s="17">
        <f>(H14-H18)*COS(2*PI()/8*1)+(I14-I18)*SIN(2*PI()/8*1)</f>
        <v>0</v>
      </c>
      <c r="K18" s="17">
        <f>-(H14-H18)*SIN(2*PI()/8*1)+(I14-I18)*COS(2*PI()/8*1)</f>
        <v>0</v>
      </c>
      <c r="L18" s="17">
        <f>J18+J20</f>
        <v>0</v>
      </c>
      <c r="M18" s="17">
        <f>K18+K20</f>
        <v>0</v>
      </c>
      <c r="N18" s="17">
        <f>(L17-L18)*COS(2*PI()/2*0)+(M17-M18)*SIN(2*PI()/2*0)</f>
        <v>0</v>
      </c>
      <c r="O18" s="17">
        <f>-(L17-L18)*SIN(2*PI()/2*0)+(M17-M18)*COS(2*PI()/2*0)</f>
        <v>0</v>
      </c>
      <c r="P18" s="17">
        <f>N49/$P$1</f>
        <v>0.03125</v>
      </c>
      <c r="Q18" s="17">
        <f>O49/$P$1</f>
        <v>-0.04213574729646002</v>
      </c>
      <c r="R18" s="18" t="s">
        <v>51</v>
      </c>
      <c r="S18" s="23">
        <f>S19-$C$1/$P$1</f>
        <v>243.75</v>
      </c>
      <c r="T18" s="17">
        <f>SQRT(P18^2+Q18^2)</f>
        <v>0.05245935283847045</v>
      </c>
    </row>
    <row r="19" spans="1:20" ht="12.75">
      <c r="A19" s="16" t="s">
        <v>52</v>
      </c>
      <c r="B19" s="17">
        <v>1</v>
      </c>
      <c r="C19" s="17">
        <v>0</v>
      </c>
      <c r="D19" s="17">
        <f>B19+B51</f>
        <v>0</v>
      </c>
      <c r="E19" s="17">
        <f>C19+C51</f>
        <v>0</v>
      </c>
      <c r="F19" s="17">
        <f>D19+D35</f>
        <v>0</v>
      </c>
      <c r="G19" s="17">
        <f>E19+E35</f>
        <v>0</v>
      </c>
      <c r="H19" s="17">
        <f>(F11-F19)*COS(2*PI()/16*6)+(G11-G19)*SIN(2*PI()/16*6)</f>
        <v>0</v>
      </c>
      <c r="I19" s="17">
        <f>-(F11-F19)*SIN(2*PI()/16*6)+(G11-G19)*COS(2*PI()/16*6)</f>
        <v>0</v>
      </c>
      <c r="J19" s="17">
        <f>(H15-H19)*COS(2*PI()/8*2)+(I15-I19)*SIN(2*PI()/8*2)</f>
        <v>0</v>
      </c>
      <c r="K19" s="17">
        <f>-(H15-H19)*SIN(2*PI()/8*2)+(I15-I19)*COS(2*PI()/8*2)</f>
        <v>0</v>
      </c>
      <c r="L19" s="17">
        <f>(J17-J19)*COS(2*PI()/4*0)+(K17-K19)*SIN(2*PI()/4*0)</f>
        <v>0</v>
      </c>
      <c r="M19" s="17">
        <f>-(J17-J19)*SIN(2*PI()/4*0)+(K17-K19)*COS(2*PI()/4*0)</f>
        <v>0</v>
      </c>
      <c r="N19" s="17">
        <f>L19+L20</f>
        <v>0</v>
      </c>
      <c r="O19" s="17">
        <f>M19+M20</f>
        <v>0</v>
      </c>
      <c r="P19" s="17">
        <f>N33/$P$1</f>
        <v>0</v>
      </c>
      <c r="Q19" s="17">
        <f>O33/$P$1</f>
        <v>0</v>
      </c>
      <c r="R19" s="18" t="s">
        <v>53</v>
      </c>
      <c r="S19" s="23">
        <f>S20-$C$1/$P$1</f>
        <v>262.5</v>
      </c>
      <c r="T19" s="17">
        <f>SQRT(P19^2+Q19^2)</f>
        <v>0</v>
      </c>
    </row>
    <row r="20" spans="1:20" ht="12.75">
      <c r="A20" s="16" t="s">
        <v>54</v>
      </c>
      <c r="B20" s="17">
        <v>1</v>
      </c>
      <c r="C20" s="17">
        <v>0</v>
      </c>
      <c r="D20" s="17">
        <f>B20+B52</f>
        <v>0</v>
      </c>
      <c r="E20" s="17">
        <f>C20+C52</f>
        <v>0</v>
      </c>
      <c r="F20" s="17">
        <f>D20+D36</f>
        <v>0</v>
      </c>
      <c r="G20" s="17">
        <f>E20+E36</f>
        <v>0</v>
      </c>
      <c r="H20" s="17">
        <f>(F12-F20)*COS(2*PI()/16*7)+(G12-G20)*SIN(2*PI()/16*7)</f>
        <v>0</v>
      </c>
      <c r="I20" s="17">
        <f>-(F12-F20)*SIN(2*PI()/16*7)+(G12-G20)*COS(2*PI()/16*7)</f>
        <v>0</v>
      </c>
      <c r="J20" s="17">
        <f>(H16-H20)*COS(2*PI()/8*3)+(I16-I20)*SIN(2*PI()/8*3)</f>
        <v>0</v>
      </c>
      <c r="K20" s="17">
        <f>-(H16-H20)*SIN(2*PI()/8*3)+(I16-I20)*COS(2*PI()/8*3)</f>
        <v>0</v>
      </c>
      <c r="L20" s="17">
        <f>(J18-J20)*COS(2*PI()/4*1)+(K18-K20)*SIN(2*PI()/4*1)</f>
        <v>0</v>
      </c>
      <c r="M20" s="17">
        <f>-(J18-J20)*SIN(2*PI()/4*1)+(K18-K20)*COS(2*PI()/4*1)</f>
        <v>0</v>
      </c>
      <c r="N20" s="17">
        <f>(L19-L20)*COS(2*PI()/2*0)+(M19-M20)*SIN(2*PI()/2*0)</f>
        <v>0</v>
      </c>
      <c r="O20" s="17">
        <f>-(L19-L20)*SIN(2*PI()/2*0)+(M19-M20)*COS(2*PI()/2*0)</f>
        <v>0</v>
      </c>
      <c r="P20" s="17">
        <f>N65/$P$1</f>
        <v>0.03125</v>
      </c>
      <c r="Q20" s="17">
        <f>O65/$P$1</f>
        <v>-0.03447906174167116</v>
      </c>
      <c r="R20" s="18" t="s">
        <v>55</v>
      </c>
      <c r="S20" s="23">
        <f>S21-$C$1/$P$1</f>
        <v>281.25</v>
      </c>
      <c r="T20" s="17">
        <f>SQRT(P20^2+Q20^2)</f>
        <v>0.04653351693764369</v>
      </c>
    </row>
    <row r="21" spans="1:20" ht="12.75">
      <c r="A21" s="16" t="s">
        <v>56</v>
      </c>
      <c r="B21" s="17">
        <v>1</v>
      </c>
      <c r="C21" s="17">
        <v>0</v>
      </c>
      <c r="D21" s="17">
        <f>B21+B53</f>
        <v>0</v>
      </c>
      <c r="E21" s="17">
        <f>C21+C53</f>
        <v>0</v>
      </c>
      <c r="F21" s="17">
        <f>(D5-D21)*COS(2*PI()/32*0)+(E5-E21)*SIN(2*PI()/32*0)</f>
        <v>0</v>
      </c>
      <c r="G21" s="17">
        <f>-(D5-D21)*SIN(2*PI()/32*0)+(E5-E21)*COS(2*PI()/32*0)</f>
        <v>0</v>
      </c>
      <c r="H21" s="17">
        <f>F21+F29</f>
        <v>0</v>
      </c>
      <c r="I21" s="17">
        <f>G21+G29</f>
        <v>0</v>
      </c>
      <c r="J21" s="17">
        <f>H21+H25</f>
        <v>0</v>
      </c>
      <c r="K21" s="17">
        <f>I21+I25</f>
        <v>0</v>
      </c>
      <c r="L21" s="17">
        <f>J21+J23</f>
        <v>0</v>
      </c>
      <c r="M21" s="17">
        <f>K21+K23</f>
        <v>0</v>
      </c>
      <c r="N21" s="17">
        <f>L21+L22</f>
        <v>0</v>
      </c>
      <c r="O21" s="17">
        <f>M21+M22</f>
        <v>0</v>
      </c>
      <c r="P21" s="17">
        <f>N7/$P$1</f>
        <v>0</v>
      </c>
      <c r="Q21" s="17">
        <f>O7/$P$1</f>
        <v>0</v>
      </c>
      <c r="R21" s="18" t="s">
        <v>57</v>
      </c>
      <c r="S21" s="23">
        <f>S22-$C$1/$P$1</f>
        <v>300</v>
      </c>
      <c r="T21" s="17">
        <f>SQRT(P21^2+Q21^2)</f>
        <v>0</v>
      </c>
    </row>
    <row r="22" spans="1:20" ht="12.75">
      <c r="A22" s="16" t="s">
        <v>58</v>
      </c>
      <c r="B22" s="17">
        <v>1</v>
      </c>
      <c r="C22" s="17">
        <v>0</v>
      </c>
      <c r="D22" s="17">
        <f>B22+B54</f>
        <v>0</v>
      </c>
      <c r="E22" s="17">
        <f>C22+C54</f>
        <v>0</v>
      </c>
      <c r="F22" s="17">
        <f>(D6-D22)*COS(2*PI()/32*1)+(E6-E22)*SIN(2*PI()/32*1)</f>
        <v>0</v>
      </c>
      <c r="G22" s="17">
        <f>-(D6-D22)*SIN(2*PI()/32*1)+(E6-E22)*COS(2*PI()/32*1)</f>
        <v>0</v>
      </c>
      <c r="H22" s="17">
        <f>F22+F30</f>
        <v>0</v>
      </c>
      <c r="I22" s="17">
        <f>G22+G30</f>
        <v>0</v>
      </c>
      <c r="J22" s="17">
        <f>H22+H26</f>
        <v>0</v>
      </c>
      <c r="K22" s="17">
        <f>I22+I26</f>
        <v>0</v>
      </c>
      <c r="L22" s="17">
        <f>J22+J24</f>
        <v>0</v>
      </c>
      <c r="M22" s="17">
        <f>K22+K24</f>
        <v>0</v>
      </c>
      <c r="N22" s="17">
        <f>(L21-L22)*COS(2*PI()/2*0)+(M21-M22)*SIN(2*PI()/2*0)</f>
        <v>0</v>
      </c>
      <c r="O22" s="17">
        <f>-(L21-L22)*SIN(2*PI()/2*0)+(M21-M22)*COS(2*PI()/2*0)</f>
        <v>0</v>
      </c>
      <c r="P22" s="17">
        <f>N39/$P$1</f>
        <v>0.03125</v>
      </c>
      <c r="Q22" s="17">
        <f>O39/$P$1</f>
        <v>-0.028323349031848306</v>
      </c>
      <c r="R22" s="18" t="s">
        <v>59</v>
      </c>
      <c r="S22" s="23">
        <f>S23-$C$1/$P$1</f>
        <v>318.75</v>
      </c>
      <c r="T22" s="17">
        <f>SQRT(P22^2+Q22^2)</f>
        <v>0.04217552134093783</v>
      </c>
    </row>
    <row r="23" spans="1:20" ht="12.75">
      <c r="A23" s="16" t="s">
        <v>60</v>
      </c>
      <c r="B23" s="17">
        <v>1</v>
      </c>
      <c r="C23" s="17">
        <v>0</v>
      </c>
      <c r="D23" s="17">
        <f>B23+B55</f>
        <v>0</v>
      </c>
      <c r="E23" s="17">
        <f>C23+C55</f>
        <v>0</v>
      </c>
      <c r="F23" s="17">
        <f>(D7-D23)*COS(2*PI()/32*2)+(E7-E23)*SIN(2*PI()/32*2)</f>
        <v>0</v>
      </c>
      <c r="G23" s="17">
        <f>-(D7-D23)*SIN(2*PI()/32*2)+(E7-E23)*COS(2*PI()/32*2)</f>
        <v>0</v>
      </c>
      <c r="H23" s="17">
        <f>F23+F31</f>
        <v>0</v>
      </c>
      <c r="I23" s="17">
        <f>G23+G31</f>
        <v>0</v>
      </c>
      <c r="J23" s="17">
        <f>H23+H27</f>
        <v>0</v>
      </c>
      <c r="K23" s="17">
        <f>I23+I27</f>
        <v>0</v>
      </c>
      <c r="L23" s="17">
        <f>(J21-J23)*COS(2*PI()/4*0)+(K21-K23)*SIN(2*PI()/4*0)</f>
        <v>0</v>
      </c>
      <c r="M23" s="17">
        <f>-(J21-J23)*SIN(2*PI()/4*0)+(K21-K23)*COS(2*PI()/4*0)</f>
        <v>0</v>
      </c>
      <c r="N23" s="17">
        <f>L23+L24</f>
        <v>0</v>
      </c>
      <c r="O23" s="17">
        <f>M23+M24</f>
        <v>0</v>
      </c>
      <c r="P23" s="17">
        <f>N23/$P$1</f>
        <v>0</v>
      </c>
      <c r="Q23" s="17">
        <f>O23/$P$1</f>
        <v>0</v>
      </c>
      <c r="R23" s="18" t="s">
        <v>61</v>
      </c>
      <c r="S23" s="23">
        <f>S24-$C$1/$P$1</f>
        <v>337.5</v>
      </c>
      <c r="T23" s="17">
        <f>SQRT(P23^2+Q23^2)</f>
        <v>0</v>
      </c>
    </row>
    <row r="24" spans="1:20" ht="12.75">
      <c r="A24" s="16" t="s">
        <v>62</v>
      </c>
      <c r="B24" s="17">
        <v>1</v>
      </c>
      <c r="C24" s="17">
        <v>0</v>
      </c>
      <c r="D24" s="17">
        <f>B24+B56</f>
        <v>0</v>
      </c>
      <c r="E24" s="17">
        <f>C24+C56</f>
        <v>0</v>
      </c>
      <c r="F24" s="17">
        <f>(D8-D24)*COS(2*PI()/32*3)+(E8-E24)*SIN(2*PI()/32*3)</f>
        <v>0</v>
      </c>
      <c r="G24" s="17">
        <f>-(D8-D24)*SIN(2*PI()/32*3)+(E8-E24)*COS(2*PI()/32*3)</f>
        <v>0</v>
      </c>
      <c r="H24" s="17">
        <f>F24+F32</f>
        <v>0</v>
      </c>
      <c r="I24" s="17">
        <f>G24+G32</f>
        <v>0</v>
      </c>
      <c r="J24" s="17">
        <f>H24+H28</f>
        <v>0</v>
      </c>
      <c r="K24" s="17">
        <f>I24+I28</f>
        <v>0</v>
      </c>
      <c r="L24" s="17">
        <f>(J22-J24)*COS(2*PI()/4*1)+(K22-K24)*SIN(2*PI()/4*1)</f>
        <v>0</v>
      </c>
      <c r="M24" s="17">
        <f>-(J22-J24)*SIN(2*PI()/4*1)+(K22-K24)*COS(2*PI()/4*1)</f>
        <v>0</v>
      </c>
      <c r="N24" s="17">
        <f>(L23-L24)*COS(2*PI()/2*0)+(M23-M24)*SIN(2*PI()/2*0)</f>
        <v>0</v>
      </c>
      <c r="O24" s="17">
        <f>-(L23-L24)*SIN(2*PI()/2*0)+(M23-M24)*COS(2*PI()/2*0)</f>
        <v>0</v>
      </c>
      <c r="P24" s="17">
        <f>N55/$P$1</f>
        <v>0.03125</v>
      </c>
      <c r="Q24" s="17">
        <f>O55/$P$1</f>
        <v>-0.023176579571001103</v>
      </c>
      <c r="R24" s="18" t="s">
        <v>63</v>
      </c>
      <c r="S24" s="23">
        <f>S25-$C$1/$P$1</f>
        <v>356.25</v>
      </c>
      <c r="T24" s="17">
        <f>SQRT(P24^2+Q24^2)</f>
        <v>0.03890650768972905</v>
      </c>
    </row>
    <row r="25" spans="1:20" ht="12.75">
      <c r="A25" s="16" t="s">
        <v>64</v>
      </c>
      <c r="B25" s="17">
        <v>1</v>
      </c>
      <c r="C25" s="17">
        <v>0</v>
      </c>
      <c r="D25" s="17">
        <f>B25+B57</f>
        <v>0</v>
      </c>
      <c r="E25" s="17">
        <f>C25+C57</f>
        <v>0</v>
      </c>
      <c r="F25" s="17">
        <f>(D9-D25)*COS(2*PI()/32*4)+(E9-E25)*SIN(2*PI()/32*4)</f>
        <v>0</v>
      </c>
      <c r="G25" s="17">
        <f>-(D9-D25)*SIN(2*PI()/32*4)+(E9-E25)*COS(2*PI()/32*4)</f>
        <v>0</v>
      </c>
      <c r="H25" s="17">
        <f>F25+F33</f>
        <v>0</v>
      </c>
      <c r="I25" s="17">
        <f>G25+G33</f>
        <v>0</v>
      </c>
      <c r="J25" s="17">
        <f>(H21-H25)*COS(2*PI()/8*0)+(I21-I25)*SIN(2*PI()/8*0)</f>
        <v>0</v>
      </c>
      <c r="K25" s="17">
        <f>-(H21-H25)*SIN(2*PI()/8*0)+(I21-I25)*COS(2*PI()/8*0)</f>
        <v>0</v>
      </c>
      <c r="L25" s="17">
        <f>J25+J27</f>
        <v>0</v>
      </c>
      <c r="M25" s="17">
        <f>K25+K27</f>
        <v>0</v>
      </c>
      <c r="N25" s="17">
        <f>L25+L26</f>
        <v>0</v>
      </c>
      <c r="O25" s="17">
        <f>M25+M26</f>
        <v>0</v>
      </c>
      <c r="P25" s="17">
        <f>N15/$P$1</f>
        <v>0</v>
      </c>
      <c r="Q25" s="17">
        <f>O15/$P$1</f>
        <v>0</v>
      </c>
      <c r="R25" s="18" t="s">
        <v>65</v>
      </c>
      <c r="S25" s="23">
        <f>S26-$C$1/$P$1</f>
        <v>375</v>
      </c>
      <c r="T25" s="17">
        <f>SQRT(P25^2+Q25^2)</f>
        <v>0</v>
      </c>
    </row>
    <row r="26" spans="1:20" ht="12.75">
      <c r="A26" s="16" t="s">
        <v>66</v>
      </c>
      <c r="B26" s="17">
        <v>1</v>
      </c>
      <c r="C26" s="17">
        <v>0</v>
      </c>
      <c r="D26" s="17">
        <f>B26+B58</f>
        <v>0</v>
      </c>
      <c r="E26" s="17">
        <f>C26+C58</f>
        <v>0</v>
      </c>
      <c r="F26" s="17">
        <f>(D10-D26)*COS(2*PI()/32*5)+(E10-E26)*SIN(2*PI()/32*5)</f>
        <v>0</v>
      </c>
      <c r="G26" s="17">
        <f>-(D10-D26)*SIN(2*PI()/32*5)+(E10-E26)*COS(2*PI()/32*5)</f>
        <v>0</v>
      </c>
      <c r="H26" s="17">
        <f>F26+F34</f>
        <v>0</v>
      </c>
      <c r="I26" s="17">
        <f>G26+G34</f>
        <v>0</v>
      </c>
      <c r="J26" s="17">
        <f>(H22-H26)*COS(2*PI()/8*1)+(I22-I26)*SIN(2*PI()/8*1)</f>
        <v>0</v>
      </c>
      <c r="K26" s="17">
        <f>-(H22-H26)*SIN(2*PI()/8*1)+(I22-I26)*COS(2*PI()/8*1)</f>
        <v>0</v>
      </c>
      <c r="L26" s="17">
        <f>J26+J28</f>
        <v>0</v>
      </c>
      <c r="M26" s="17">
        <f>K26+K28</f>
        <v>0</v>
      </c>
      <c r="N26" s="17">
        <f>(L25-L26)*COS(2*PI()/2*0)+(M25-M26)*SIN(2*PI()/2*0)</f>
        <v>0</v>
      </c>
      <c r="O26" s="17">
        <f>-(L25-L26)*SIN(2*PI()/2*0)+(M25-M26)*COS(2*PI()/2*0)</f>
        <v>0</v>
      </c>
      <c r="P26" s="17">
        <f>N47/$P$1</f>
        <v>0.03125</v>
      </c>
      <c r="Q26" s="17">
        <f>O47/$P$1</f>
        <v>-0.018730529177560108</v>
      </c>
      <c r="R26" s="18" t="s">
        <v>67</v>
      </c>
      <c r="S26" s="23">
        <f>S27-$C$1/$P$1</f>
        <v>393.75</v>
      </c>
      <c r="T26" s="17">
        <f>SQRT(P26^2+Q26^2)</f>
        <v>0.03643343551288336</v>
      </c>
    </row>
    <row r="27" spans="1:20" ht="12.75">
      <c r="A27" s="16" t="s">
        <v>68</v>
      </c>
      <c r="B27" s="17">
        <v>1</v>
      </c>
      <c r="C27" s="17">
        <v>0</v>
      </c>
      <c r="D27" s="17">
        <f>B27+B59</f>
        <v>0</v>
      </c>
      <c r="E27" s="17">
        <f>C27+C59</f>
        <v>0</v>
      </c>
      <c r="F27" s="17">
        <f>(D11-D27)*COS(2*PI()/32*6)+(E11-E27)*SIN(2*PI()/32*6)</f>
        <v>0</v>
      </c>
      <c r="G27" s="17">
        <f>-(D11-D27)*SIN(2*PI()/32*6)+(E11-E27)*COS(2*PI()/32*6)</f>
        <v>0</v>
      </c>
      <c r="H27" s="17">
        <f>F27+F35</f>
        <v>0</v>
      </c>
      <c r="I27" s="17">
        <f>G27+G35</f>
        <v>0</v>
      </c>
      <c r="J27" s="17">
        <f>(H23-H27)*COS(2*PI()/8*2)+(I23-I27)*SIN(2*PI()/8*2)</f>
        <v>0</v>
      </c>
      <c r="K27" s="17">
        <f>-(H23-H27)*SIN(2*PI()/8*2)+(I23-I27)*COS(2*PI()/8*2)</f>
        <v>0</v>
      </c>
      <c r="L27" s="17">
        <f>(J25-J27)*COS(2*PI()/4*0)+(K25-K27)*SIN(2*PI()/4*0)</f>
        <v>0</v>
      </c>
      <c r="M27" s="17">
        <f>-(J25-J27)*SIN(2*PI()/4*0)+(K25-K27)*COS(2*PI()/4*0)</f>
        <v>0</v>
      </c>
      <c r="N27" s="17">
        <f>L27+L28</f>
        <v>0</v>
      </c>
      <c r="O27" s="17">
        <f>M27+M28</f>
        <v>0</v>
      </c>
      <c r="P27" s="17">
        <f>N31/$P$1</f>
        <v>0</v>
      </c>
      <c r="Q27" s="17">
        <f>O31/$P$1</f>
        <v>0</v>
      </c>
      <c r="R27" s="18" t="s">
        <v>69</v>
      </c>
      <c r="S27" s="23">
        <f>S28-$C$1/$P$1</f>
        <v>412.5</v>
      </c>
      <c r="T27" s="17">
        <f>SQRT(P27^2+Q27^2)</f>
        <v>0</v>
      </c>
    </row>
    <row r="28" spans="1:20" ht="12.75">
      <c r="A28" s="16" t="s">
        <v>70</v>
      </c>
      <c r="B28" s="17">
        <v>1</v>
      </c>
      <c r="C28" s="17">
        <v>0</v>
      </c>
      <c r="D28" s="17">
        <f>B28+B60</f>
        <v>0</v>
      </c>
      <c r="E28" s="17">
        <f>C28+C60</f>
        <v>0</v>
      </c>
      <c r="F28" s="17">
        <f>(D12-D28)*COS(2*PI()/32*7)+(E12-E28)*SIN(2*PI()/32*7)</f>
        <v>0</v>
      </c>
      <c r="G28" s="17">
        <f>-(D12-D28)*SIN(2*PI()/32*7)+(E12-E28)*COS(2*PI()/32*7)</f>
        <v>0</v>
      </c>
      <c r="H28" s="17">
        <f>F28+F36</f>
        <v>0</v>
      </c>
      <c r="I28" s="17">
        <f>G28+G36</f>
        <v>0</v>
      </c>
      <c r="J28" s="17">
        <f>(H24-H28)*COS(2*PI()/8*3)+(I24-I28)*SIN(2*PI()/8*3)</f>
        <v>0</v>
      </c>
      <c r="K28" s="17">
        <f>-(H24-H28)*SIN(2*PI()/8*3)+(I24-I28)*COS(2*PI()/8*3)</f>
        <v>0</v>
      </c>
      <c r="L28" s="17">
        <f>(J26-J28)*COS(2*PI()/4*1)+(K26-K28)*SIN(2*PI()/4*1)</f>
        <v>0</v>
      </c>
      <c r="M28" s="17">
        <f>-(J26-J28)*SIN(2*PI()/4*1)+(K26-K28)*COS(2*PI()/4*1)</f>
        <v>0</v>
      </c>
      <c r="N28" s="17">
        <f>(L27-L28)*COS(2*PI()/2*0)+(M27-M28)*SIN(2*PI()/2*0)</f>
        <v>0</v>
      </c>
      <c r="O28" s="17">
        <f>-(L27-L28)*SIN(2*PI()/2*0)+(M27-M28)*COS(2*PI()/2*0)</f>
        <v>0</v>
      </c>
      <c r="P28" s="17">
        <f>N63/$P$1</f>
        <v>0.03125</v>
      </c>
      <c r="Q28" s="17">
        <f>O63/$P$1</f>
        <v>-0.014780149246603723</v>
      </c>
      <c r="R28" s="18" t="s">
        <v>71</v>
      </c>
      <c r="S28" s="23">
        <f>S29-$C$1/$P$1</f>
        <v>431.25</v>
      </c>
      <c r="T28" s="17">
        <f>SQRT(P28^2+Q28^2)</f>
        <v>0.03456899350215277</v>
      </c>
    </row>
    <row r="29" spans="1:20" ht="12.75">
      <c r="A29" s="16" t="s">
        <v>72</v>
      </c>
      <c r="B29" s="17">
        <v>1</v>
      </c>
      <c r="C29" s="17">
        <v>0</v>
      </c>
      <c r="D29" s="17">
        <f>B29+B61</f>
        <v>0</v>
      </c>
      <c r="E29" s="17">
        <f>C29+C61</f>
        <v>0</v>
      </c>
      <c r="F29" s="17">
        <f>(D13-D29)*COS(2*PI()/32*8)+(E13-E29)*SIN(2*PI()/32*8)</f>
        <v>0</v>
      </c>
      <c r="G29" s="17">
        <f>-(D13-D29)*SIN(2*PI()/32*8)+(E13-E29)*COS(2*PI()/32*8)</f>
        <v>0</v>
      </c>
      <c r="H29" s="17">
        <f>(F21-F29)*COS(2*PI()/16*0)+(G21-G29)*SIN(2*PI()/16*0)</f>
        <v>0</v>
      </c>
      <c r="I29" s="17">
        <f>-(F21-F29)*SIN(2*PI()/16*0)+(G21-G29)*COS(2*PI()/16*0)</f>
        <v>0</v>
      </c>
      <c r="J29" s="17">
        <f>H29+H33</f>
        <v>0</v>
      </c>
      <c r="K29" s="17">
        <f>I29+I33</f>
        <v>0</v>
      </c>
      <c r="L29" s="17">
        <f>J29+J31</f>
        <v>0</v>
      </c>
      <c r="M29" s="17">
        <f>K29+K31</f>
        <v>0</v>
      </c>
      <c r="N29" s="17">
        <f>L29+L30</f>
        <v>0</v>
      </c>
      <c r="O29" s="17">
        <f>M29+M30</f>
        <v>0</v>
      </c>
      <c r="P29" s="17">
        <f>N11/$P$1</f>
        <v>0</v>
      </c>
      <c r="Q29" s="17">
        <f>O11/$P$1</f>
        <v>0</v>
      </c>
      <c r="R29" s="18" t="s">
        <v>73</v>
      </c>
      <c r="S29" s="23">
        <f>S30-$C$1/$P$1</f>
        <v>450</v>
      </c>
      <c r="T29" s="17">
        <f>SQRT(P29^2+Q29^2)</f>
        <v>0</v>
      </c>
    </row>
    <row r="30" spans="1:20" ht="12.75">
      <c r="A30" s="16" t="s">
        <v>74</v>
      </c>
      <c r="B30" s="17">
        <v>1</v>
      </c>
      <c r="C30" s="17">
        <v>0</v>
      </c>
      <c r="D30" s="17">
        <f>B30+B62</f>
        <v>0</v>
      </c>
      <c r="E30" s="17">
        <f>C30+C62</f>
        <v>0</v>
      </c>
      <c r="F30" s="17">
        <f>(D14-D30)*COS(2*PI()/32*9)+(E14-E30)*SIN(2*PI()/32*9)</f>
        <v>0</v>
      </c>
      <c r="G30" s="17">
        <f>-(D14-D30)*SIN(2*PI()/32*9)+(E14-E30)*COS(2*PI()/32*9)</f>
        <v>0</v>
      </c>
      <c r="H30" s="17">
        <f>(F22-F30)*COS(2*PI()/16*1)+(G22-G30)*SIN(2*PI()/16*1)</f>
        <v>0</v>
      </c>
      <c r="I30" s="17">
        <f>-(F22-F30)*SIN(2*PI()/16*1)+(G22-G30)*COS(2*PI()/16*1)</f>
        <v>0</v>
      </c>
      <c r="J30" s="17">
        <f>H30+H34</f>
        <v>0</v>
      </c>
      <c r="K30" s="17">
        <f>I30+I34</f>
        <v>0</v>
      </c>
      <c r="L30" s="17">
        <f>J30+J32</f>
        <v>0</v>
      </c>
      <c r="M30" s="17">
        <f>K30+K32</f>
        <v>0</v>
      </c>
      <c r="N30" s="17">
        <f>(L29-L30)*COS(2*PI()/2*0)+(M29-M30)*SIN(2*PI()/2*0)</f>
        <v>0</v>
      </c>
      <c r="O30" s="17">
        <f>-(L29-L30)*SIN(2*PI()/2*0)+(M29-M30)*COS(2*PI()/2*0)</f>
        <v>0</v>
      </c>
      <c r="P30" s="17">
        <f>N43/$P$1</f>
        <v>0.03125</v>
      </c>
      <c r="Q30" s="17">
        <f>O43/$P$1</f>
        <v>-0.011181428791078883</v>
      </c>
      <c r="R30" s="18" t="s">
        <v>75</v>
      </c>
      <c r="S30" s="23">
        <f>S31-$C$1/$P$1</f>
        <v>468.75</v>
      </c>
      <c r="T30" s="17">
        <f>SQRT(P30^2+Q30^2)</f>
        <v>0.033190161943111515</v>
      </c>
    </row>
    <row r="31" spans="1:20" ht="12.75">
      <c r="A31" s="16" t="s">
        <v>76</v>
      </c>
      <c r="B31" s="17">
        <v>1</v>
      </c>
      <c r="C31" s="17">
        <v>0</v>
      </c>
      <c r="D31" s="17">
        <f>B31+B63</f>
        <v>0</v>
      </c>
      <c r="E31" s="17">
        <f>C31+C63</f>
        <v>0</v>
      </c>
      <c r="F31" s="17">
        <f>(D15-D31)*COS(2*PI()/32*10)+(E15-E31)*SIN(2*PI()/32*10)</f>
        <v>0</v>
      </c>
      <c r="G31" s="17">
        <f>-(D15-D31)*SIN(2*PI()/32*10)+(E15-E31)*COS(2*PI()/32*10)</f>
        <v>0</v>
      </c>
      <c r="H31" s="17">
        <f>(F23-F31)*COS(2*PI()/16*2)+(G23-G31)*SIN(2*PI()/16*2)</f>
        <v>0</v>
      </c>
      <c r="I31" s="17">
        <f>-(F23-F31)*SIN(2*PI()/16*2)+(G23-G31)*COS(2*PI()/16*2)</f>
        <v>0</v>
      </c>
      <c r="J31" s="17">
        <f>H31+H35</f>
        <v>0</v>
      </c>
      <c r="K31" s="17">
        <f>I31+I35</f>
        <v>0</v>
      </c>
      <c r="L31" s="17">
        <f>(J29-J31)*COS(2*PI()/4*0)+(K29-K31)*SIN(2*PI()/4*0)</f>
        <v>0</v>
      </c>
      <c r="M31" s="17">
        <f>-(J29-J31)*SIN(2*PI()/4*0)+(K29-K31)*COS(2*PI()/4*0)</f>
        <v>0</v>
      </c>
      <c r="N31" s="17">
        <f>L31+L32</f>
        <v>0</v>
      </c>
      <c r="O31" s="17">
        <f>M31+M32</f>
        <v>0</v>
      </c>
      <c r="P31" s="17">
        <f>N27/$P$1</f>
        <v>0</v>
      </c>
      <c r="Q31" s="17">
        <f>O27/$P$1</f>
        <v>0</v>
      </c>
      <c r="R31" s="18" t="s">
        <v>77</v>
      </c>
      <c r="S31" s="23">
        <f>S32-$C$1/$P$1</f>
        <v>487.5</v>
      </c>
      <c r="T31" s="17">
        <f>SQRT(P31^2+Q31^2)</f>
        <v>0</v>
      </c>
    </row>
    <row r="32" spans="1:20" ht="12.75">
      <c r="A32" s="16" t="s">
        <v>78</v>
      </c>
      <c r="B32" s="17">
        <v>1</v>
      </c>
      <c r="C32" s="17">
        <v>0</v>
      </c>
      <c r="D32" s="17">
        <f>B32+B64</f>
        <v>0</v>
      </c>
      <c r="E32" s="17">
        <f>C32+C64</f>
        <v>0</v>
      </c>
      <c r="F32" s="17">
        <f>(D16-D32)*COS(2*PI()/32*11)+(E16-E32)*SIN(2*PI()/32*11)</f>
        <v>0</v>
      </c>
      <c r="G32" s="17">
        <f>-(D16-D32)*SIN(2*PI()/32*11)+(E16-E32)*COS(2*PI()/32*11)</f>
        <v>0</v>
      </c>
      <c r="H32" s="17">
        <f>(F24-F32)*COS(2*PI()/16*3)+(G24-G32)*SIN(2*PI()/16*3)</f>
        <v>0</v>
      </c>
      <c r="I32" s="17">
        <f>-(F24-F32)*SIN(2*PI()/16*3)+(G24-G32)*COS(2*PI()/16*3)</f>
        <v>0</v>
      </c>
      <c r="J32" s="17">
        <f>H32+H36</f>
        <v>0</v>
      </c>
      <c r="K32" s="17">
        <f>I32+I36</f>
        <v>0</v>
      </c>
      <c r="L32" s="17">
        <f>(J30-J32)*COS(2*PI()/4*1)+(K30-K32)*SIN(2*PI()/4*1)</f>
        <v>0</v>
      </c>
      <c r="M32" s="17">
        <f>-(J30-J32)*SIN(2*PI()/4*1)+(K30-K32)*COS(2*PI()/4*1)</f>
        <v>0</v>
      </c>
      <c r="N32" s="17">
        <f>(L31-L32)*COS(2*PI()/2*0)+(M31-M32)*SIN(2*PI()/2*0)</f>
        <v>0</v>
      </c>
      <c r="O32" s="17">
        <f>-(L31-L32)*SIN(2*PI()/2*0)+(M31-M32)*COS(2*PI()/2*0)</f>
        <v>0</v>
      </c>
      <c r="P32" s="17">
        <f>N59/$P$1</f>
        <v>0.03125</v>
      </c>
      <c r="Q32" s="17">
        <f>O59/$P$1</f>
        <v>-0.007827717505978292</v>
      </c>
      <c r="R32" s="18" t="s">
        <v>79</v>
      </c>
      <c r="S32" s="23">
        <f>S33-$C$1/$P$1</f>
        <v>506.25</v>
      </c>
      <c r="T32" s="17">
        <f>SQRT(P32^2+Q32^2)</f>
        <v>0.032215456870164035</v>
      </c>
    </row>
    <row r="33" spans="1:20" ht="12.75">
      <c r="A33" s="16" t="s">
        <v>80</v>
      </c>
      <c r="B33" s="17">
        <v>1</v>
      </c>
      <c r="C33" s="17">
        <v>0</v>
      </c>
      <c r="D33" s="17">
        <f>B33+B65</f>
        <v>0</v>
      </c>
      <c r="E33" s="17">
        <f>C33+C65</f>
        <v>0</v>
      </c>
      <c r="F33" s="17">
        <f>(D17-D33)*COS(2*PI()/32*12)+(E17-E33)*SIN(2*PI()/32*12)</f>
        <v>0</v>
      </c>
      <c r="G33" s="17">
        <f>-(D17-D33)*SIN(2*PI()/32*12)+(E17-E33)*COS(2*PI()/32*12)</f>
        <v>0</v>
      </c>
      <c r="H33" s="17">
        <f>(F25-F33)*COS(2*PI()/16*4)+(G25-G33)*SIN(2*PI()/16*4)</f>
        <v>0</v>
      </c>
      <c r="I33" s="17">
        <f>-(F25-F33)*SIN(2*PI()/16*4)+(G25-G33)*COS(2*PI()/16*4)</f>
        <v>0</v>
      </c>
      <c r="J33" s="17">
        <f>(H29-H33)*COS(2*PI()/8*0)+(I29-I33)*SIN(2*PI()/8*0)</f>
        <v>0</v>
      </c>
      <c r="K33" s="17">
        <f>-(H29-H33)*SIN(2*PI()/8*0)+(I29-I33)*COS(2*PI()/8*0)</f>
        <v>0</v>
      </c>
      <c r="L33" s="17">
        <f>J33+J35</f>
        <v>0</v>
      </c>
      <c r="M33" s="17">
        <f>K33+K35</f>
        <v>0</v>
      </c>
      <c r="N33" s="17">
        <f>L33+L34</f>
        <v>0</v>
      </c>
      <c r="O33" s="17">
        <f>M33+M34</f>
        <v>0</v>
      </c>
      <c r="P33" s="17">
        <f>N19/$P$1</f>
        <v>0</v>
      </c>
      <c r="Q33" s="17">
        <f>O19/$P$1</f>
        <v>0</v>
      </c>
      <c r="R33" s="18" t="s">
        <v>81</v>
      </c>
      <c r="S33" s="23">
        <f>S34-$C$1/$P$1</f>
        <v>525</v>
      </c>
      <c r="T33" s="17">
        <f>SQRT(P33^2+Q33^2)</f>
        <v>0</v>
      </c>
    </row>
    <row r="34" spans="1:20" ht="12.75">
      <c r="A34" s="16" t="s">
        <v>82</v>
      </c>
      <c r="B34" s="17">
        <v>1</v>
      </c>
      <c r="C34" s="17">
        <v>0</v>
      </c>
      <c r="D34" s="17">
        <f>B34+B66</f>
        <v>0</v>
      </c>
      <c r="E34" s="17">
        <f>C34+C66</f>
        <v>0</v>
      </c>
      <c r="F34" s="17">
        <f>(D18-D34)*COS(2*PI()/32*13)+(E18-E34)*SIN(2*PI()/32*13)</f>
        <v>0</v>
      </c>
      <c r="G34" s="17">
        <f>-(D18-D34)*SIN(2*PI()/32*13)+(E18-E34)*COS(2*PI()/32*13)</f>
        <v>0</v>
      </c>
      <c r="H34" s="17">
        <f>(F26-F34)*COS(2*PI()/16*5)+(G26-G34)*SIN(2*PI()/16*5)</f>
        <v>0</v>
      </c>
      <c r="I34" s="17">
        <f>-(F26-F34)*SIN(2*PI()/16*5)+(G26-G34)*COS(2*PI()/16*5)</f>
        <v>0</v>
      </c>
      <c r="J34" s="17">
        <f>(H30-H34)*COS(2*PI()/8*1)+(I30-I34)*SIN(2*PI()/8*1)</f>
        <v>0</v>
      </c>
      <c r="K34" s="17">
        <f>-(H30-H34)*SIN(2*PI()/8*1)+(I30-I34)*COS(2*PI()/8*1)</f>
        <v>0</v>
      </c>
      <c r="L34" s="17">
        <f>J34+J36</f>
        <v>0</v>
      </c>
      <c r="M34" s="17">
        <f>K34+K36</f>
        <v>0</v>
      </c>
      <c r="N34" s="17">
        <f>(L33-L34)*COS(2*PI()/2*0)+(M33-M34)*SIN(2*PI()/2*0)</f>
        <v>0</v>
      </c>
      <c r="O34" s="17">
        <f>-(L33-L34)*SIN(2*PI()/2*0)+(M33-M34)*COS(2*PI()/2*0)</f>
        <v>0</v>
      </c>
      <c r="P34" s="17">
        <f>N51/$P$1</f>
        <v>0.03125</v>
      </c>
      <c r="Q34" s="17">
        <f>O51/$P$1</f>
        <v>-0.004635499610573357</v>
      </c>
      <c r="R34" s="18" t="s">
        <v>83</v>
      </c>
      <c r="S34" s="23">
        <f>S35-$C$1/$P$1</f>
        <v>543.75</v>
      </c>
      <c r="T34" s="17">
        <f>SQRT(P34^2+Q34^2)</f>
        <v>0.03159193499359648</v>
      </c>
    </row>
    <row r="35" spans="1:20" ht="12.75">
      <c r="A35" s="16" t="s">
        <v>84</v>
      </c>
      <c r="B35" s="17">
        <v>1</v>
      </c>
      <c r="C35" s="17">
        <v>0</v>
      </c>
      <c r="D35" s="17">
        <f>B35+B67</f>
        <v>0</v>
      </c>
      <c r="E35" s="17">
        <f>C35+C67</f>
        <v>0</v>
      </c>
      <c r="F35" s="17">
        <f>(D19-D35)*COS(2*PI()/32*14)+(E19-E35)*SIN(2*PI()/32*14)</f>
        <v>0</v>
      </c>
      <c r="G35" s="17">
        <f>-(D19-D35)*SIN(2*PI()/32*14)+(E19-E35)*COS(2*PI()/32*14)</f>
        <v>0</v>
      </c>
      <c r="H35" s="17">
        <f>(F27-F35)*COS(2*PI()/16*6)+(G27-G35)*SIN(2*PI()/16*6)</f>
        <v>0</v>
      </c>
      <c r="I35" s="17">
        <f>-(F27-F35)*SIN(2*PI()/16*6)+(G27-G35)*COS(2*PI()/16*6)</f>
        <v>0</v>
      </c>
      <c r="J35" s="17">
        <f>(H31-H35)*COS(2*PI()/8*2)+(I31-I35)*SIN(2*PI()/8*2)</f>
        <v>0</v>
      </c>
      <c r="K35" s="17">
        <f>-(H31-H35)*SIN(2*PI()/8*2)+(I31-I35)*COS(2*PI()/8*2)</f>
        <v>0</v>
      </c>
      <c r="L35" s="17">
        <f>(J33-J35)*COS(2*PI()/4*0)+(K33-K35)*SIN(2*PI()/4*0)</f>
        <v>0</v>
      </c>
      <c r="M35" s="17">
        <f>-(J33-J35)*SIN(2*PI()/4*0)+(K33-K35)*COS(2*PI()/4*0)</f>
        <v>0</v>
      </c>
      <c r="N35" s="17">
        <f>L35+L36</f>
        <v>0</v>
      </c>
      <c r="O35" s="17">
        <f>M35+M36</f>
        <v>0</v>
      </c>
      <c r="P35" s="17">
        <f>N35/$P$1</f>
        <v>0</v>
      </c>
      <c r="Q35" s="17">
        <f>O35/$P$1</f>
        <v>0</v>
      </c>
      <c r="R35" s="18" t="s">
        <v>85</v>
      </c>
      <c r="S35" s="23">
        <f>S36-$C$1/$P$1</f>
        <v>562.5</v>
      </c>
      <c r="T35" s="17">
        <f>SQRT(P35^2+Q35^2)</f>
        <v>0</v>
      </c>
    </row>
    <row r="36" spans="1:20" ht="12.75">
      <c r="A36" s="16" t="s">
        <v>86</v>
      </c>
      <c r="B36" s="17">
        <v>1</v>
      </c>
      <c r="C36" s="17">
        <v>0</v>
      </c>
      <c r="D36" s="17">
        <f>B36+B68</f>
        <v>0</v>
      </c>
      <c r="E36" s="17">
        <f>C36+C68</f>
        <v>0</v>
      </c>
      <c r="F36" s="17">
        <f>(D20-D36)*COS(2*PI()/32*15)+(E20-E36)*SIN(2*PI()/32*15)</f>
        <v>0</v>
      </c>
      <c r="G36" s="17">
        <f>-(D20-D36)*SIN(2*PI()/32*15)+(E20-E36)*COS(2*PI()/32*15)</f>
        <v>0</v>
      </c>
      <c r="H36" s="17">
        <f>(F28-F36)*COS(2*PI()/16*7)+(G28-G36)*SIN(2*PI()/16*7)</f>
        <v>0</v>
      </c>
      <c r="I36" s="17">
        <f>-(F28-F36)*SIN(2*PI()/16*7)+(G28-G36)*COS(2*PI()/16*7)</f>
        <v>0</v>
      </c>
      <c r="J36" s="17">
        <f>(H32-H36)*COS(2*PI()/8*3)+(I32-I36)*SIN(2*PI()/8*3)</f>
        <v>0</v>
      </c>
      <c r="K36" s="17">
        <f>-(H32-H36)*SIN(2*PI()/8*3)+(I32-I36)*COS(2*PI()/8*3)</f>
        <v>0</v>
      </c>
      <c r="L36" s="17">
        <f>(J34-J36)*COS(2*PI()/4*1)+(K34-K36)*SIN(2*PI()/4*1)</f>
        <v>0</v>
      </c>
      <c r="M36" s="17">
        <f>-(J34-J36)*SIN(2*PI()/4*1)+(K34-K36)*COS(2*PI()/4*1)</f>
        <v>0</v>
      </c>
      <c r="N36" s="17">
        <f>(L35-L36)*COS(2*PI()/2*0)+(M35-M36)*SIN(2*PI()/2*0)</f>
        <v>0</v>
      </c>
      <c r="O36" s="17">
        <f>-(L35-L36)*SIN(2*PI()/2*0)+(M35-M36)*COS(2*PI()/2*0)</f>
        <v>0</v>
      </c>
      <c r="P36" s="17">
        <f>N67/$P$1</f>
        <v>0.031250000000000125</v>
      </c>
      <c r="Q36" s="17">
        <f>O67/$P$1</f>
        <v>-0.001535214055295886</v>
      </c>
      <c r="R36" s="18" t="s">
        <v>87</v>
      </c>
      <c r="S36" s="23">
        <f>S37-$C$1/$P$1</f>
        <v>581.25</v>
      </c>
      <c r="T36" s="17">
        <f>SQRT(P36^2+Q36^2)</f>
        <v>0.0312876873896999</v>
      </c>
    </row>
    <row r="37" spans="1:20" ht="12.75">
      <c r="A37" s="16" t="s">
        <v>88</v>
      </c>
      <c r="B37" s="17">
        <v>-1</v>
      </c>
      <c r="C37" s="17">
        <v>0</v>
      </c>
      <c r="D37" s="17">
        <f>(B5-B37)*COS(2*PI()/64*0)+(C5-C37)*SIN(2*PI()/64*0)</f>
        <v>2</v>
      </c>
      <c r="E37" s="17">
        <f>-(B5-B37)*SIN(2*PI()/64*0)+(C5-C37)*COS(2*PI()/64*0)</f>
        <v>0</v>
      </c>
      <c r="F37" s="17">
        <f>D37+D53</f>
        <v>2</v>
      </c>
      <c r="G37" s="17">
        <f>E37+E53</f>
        <v>-2</v>
      </c>
      <c r="H37" s="17">
        <f>F37+F45</f>
        <v>2</v>
      </c>
      <c r="I37" s="17">
        <f>G37+G45</f>
        <v>-4.82842712474619</v>
      </c>
      <c r="J37" s="17">
        <f>H37+H41</f>
        <v>2</v>
      </c>
      <c r="K37" s="17">
        <f>I37+I41</f>
        <v>-10.054678984251696</v>
      </c>
      <c r="L37" s="17">
        <f>J37+J39</f>
        <v>2</v>
      </c>
      <c r="M37" s="17">
        <f>K37+K39</f>
        <v>-20.30634077521772</v>
      </c>
      <c r="N37" s="17">
        <f>L37+L38</f>
        <v>2</v>
      </c>
      <c r="O37" s="17">
        <f>M37+M38</f>
        <v>-40.710935249974376</v>
      </c>
      <c r="P37" s="17">
        <f>N6/$P$1</f>
        <v>0</v>
      </c>
      <c r="Q37" s="17">
        <f>O6/$P$1</f>
        <v>0</v>
      </c>
      <c r="R37" s="18" t="s">
        <v>89</v>
      </c>
      <c r="S37" s="23">
        <f>M1</f>
        <v>600</v>
      </c>
      <c r="T37" s="17">
        <f>SQRT(P37^2+Q37^2)</f>
        <v>0</v>
      </c>
    </row>
    <row r="38" spans="1:20" ht="12.75">
      <c r="A38" s="16" t="s">
        <v>90</v>
      </c>
      <c r="B38" s="17">
        <v>-1</v>
      </c>
      <c r="C38" s="17">
        <v>0</v>
      </c>
      <c r="D38" s="17">
        <f>(B6-B38)*COS(2*PI()/64*1)+(C6-C38)*SIN(2*PI()/64*1)</f>
        <v>1.9903694533443939</v>
      </c>
      <c r="E38" s="17">
        <f>-(B6-B38)*SIN(2*PI()/64*1)+(C6-C38)*COS(2*PI()/64*1)</f>
        <v>-0.1960342806591212</v>
      </c>
      <c r="F38" s="17">
        <f>D38+D54</f>
        <v>1.7943351726852725</v>
      </c>
      <c r="G38" s="17">
        <f>E38+E54</f>
        <v>-2.186403734003515</v>
      </c>
      <c r="H38" s="17">
        <f>F38+F46</f>
        <v>1.5171008342870895</v>
      </c>
      <c r="I38" s="17">
        <f>G38+G46</f>
        <v>-5.00121120905628</v>
      </c>
      <c r="J38" s="17">
        <f>H38+H42</f>
        <v>1.0048385723763111</v>
      </c>
      <c r="K38" s="17">
        <f>I38+I42</f>
        <v>-10.202297237378328</v>
      </c>
      <c r="L38" s="17">
        <f>J38+J40</f>
        <v>0</v>
      </c>
      <c r="M38" s="17">
        <f>K38+K40</f>
        <v>-20.404594474756657</v>
      </c>
      <c r="N38" s="17">
        <f>(L37-L38)*COS(2*PI()/2*0)+(M37-M38)*SIN(2*PI()/2*0)</f>
        <v>2</v>
      </c>
      <c r="O38" s="17">
        <f>-(L37-L38)*SIN(2*PI()/2*0)+(M37-M38)*COS(2*PI()/2*0)</f>
        <v>0.0982536995389367</v>
      </c>
      <c r="P38" s="17">
        <f>N38/$P$1</f>
        <v>0.03125</v>
      </c>
      <c r="Q38" s="17">
        <f>O38/$P$1</f>
        <v>0.001535214055295886</v>
      </c>
      <c r="R38" s="18" t="s">
        <v>91</v>
      </c>
      <c r="S38" s="17"/>
      <c r="T38" s="17"/>
    </row>
    <row r="39" spans="1:20" ht="12.75">
      <c r="A39" s="16" t="s">
        <v>92</v>
      </c>
      <c r="B39" s="17">
        <v>-1</v>
      </c>
      <c r="C39" s="17">
        <v>0</v>
      </c>
      <c r="D39" s="17">
        <f>(B7-B39)*COS(2*PI()/64*2)+(C7-C39)*SIN(2*PI()/64*2)</f>
        <v>1.9615705608064609</v>
      </c>
      <c r="E39" s="17">
        <f>-(B7-B39)*SIN(2*PI()/64*2)+(C7-C39)*COS(2*PI()/64*2)</f>
        <v>-0.3901806440322565</v>
      </c>
      <c r="F39" s="17">
        <f>D39+D55</f>
        <v>1.5713899167742045</v>
      </c>
      <c r="G39" s="17">
        <f>E39+E55</f>
        <v>-2.3517512048387172</v>
      </c>
      <c r="H39" s="17">
        <f>F39+F47</f>
        <v>1.0195911582083184</v>
      </c>
      <c r="I39" s="17">
        <f>G39+G47</f>
        <v>-5.125830895483013</v>
      </c>
      <c r="J39" s="17">
        <f>H39+H43</f>
        <v>0</v>
      </c>
      <c r="K39" s="17">
        <f>I39+I43</f>
        <v>-10.251661790966025</v>
      </c>
      <c r="L39" s="17">
        <f>(J37-J39)*COS(2*PI()/4*0)+(K37-K39)*SIN(2*PI()/4*0)</f>
        <v>2</v>
      </c>
      <c r="M39" s="17">
        <f>-(J37-J39)*SIN(2*PI()/4*0)+(K37-K39)*COS(2*PI()/4*0)</f>
        <v>0.19698280671432933</v>
      </c>
      <c r="N39" s="17">
        <f>L39+L40</f>
        <v>2</v>
      </c>
      <c r="O39" s="17">
        <f>M39+M40</f>
        <v>-1.8126943380382916</v>
      </c>
      <c r="P39" s="17">
        <f>N22/$P$1</f>
        <v>0</v>
      </c>
      <c r="Q39" s="17">
        <f>O22/$P$1</f>
        <v>0</v>
      </c>
      <c r="R39" s="18" t="s">
        <v>93</v>
      </c>
      <c r="S39" s="17"/>
      <c r="T39" s="17"/>
    </row>
    <row r="40" spans="1:20" ht="12.75">
      <c r="A40" s="16" t="s">
        <v>94</v>
      </c>
      <c r="B40" s="17">
        <v>-1</v>
      </c>
      <c r="C40" s="17">
        <v>0</v>
      </c>
      <c r="D40" s="17">
        <f>(B8-B40)*COS(2*PI()/64*3)+(C8-C40)*SIN(2*PI()/64*3)</f>
        <v>1.9138806714644176</v>
      </c>
      <c r="E40" s="17">
        <f>-(B8-B40)*SIN(2*PI()/64*3)+(C8-C40)*COS(2*PI()/64*3)</f>
        <v>-0.5805693545089247</v>
      </c>
      <c r="F40" s="17">
        <f>D40+D56</f>
        <v>1.3333113169554933</v>
      </c>
      <c r="G40" s="17">
        <f>E40+E56</f>
        <v>-2.4944500259733426</v>
      </c>
      <c r="H40" s="17">
        <f>F40+F48</f>
        <v>0.5122622619107791</v>
      </c>
      <c r="I40" s="17">
        <f>G40+G48</f>
        <v>-5.201086028322049</v>
      </c>
      <c r="J40" s="17">
        <f>H40+H44</f>
        <v>-1.0048385723763098</v>
      </c>
      <c r="K40" s="17">
        <f>I40+I44</f>
        <v>-10.202297237378328</v>
      </c>
      <c r="L40" s="17">
        <f>(J38-J40)*COS(2*PI()/4*1)+(K38-K40)*SIN(2*PI()/4*1)</f>
        <v>1.2305723413204445E-16</v>
      </c>
      <c r="M40" s="17">
        <f>-(J38-J40)*SIN(2*PI()/4*1)+(K38-K40)*COS(2*PI()/4*1)</f>
        <v>-2.009677144752621</v>
      </c>
      <c r="N40" s="17">
        <f>(L39-L40)*COS(2*PI()/2*0)+(M39-M40)*SIN(2*PI()/2*0)</f>
        <v>1.9999999999999998</v>
      </c>
      <c r="O40" s="17">
        <f>-(L39-L40)*SIN(2*PI()/2*0)+(M39-M40)*COS(2*PI()/2*0)</f>
        <v>2.2066599514669503</v>
      </c>
      <c r="P40" s="17">
        <f>N54/$P$1</f>
        <v>0.03125</v>
      </c>
      <c r="Q40" s="17">
        <f>O54/$P$1</f>
        <v>0.004635499610573371</v>
      </c>
      <c r="R40" s="18" t="s">
        <v>95</v>
      </c>
      <c r="S40" s="17"/>
      <c r="T40" s="17"/>
    </row>
    <row r="41" spans="1:20" ht="12.75">
      <c r="A41" s="16" t="s">
        <v>96</v>
      </c>
      <c r="B41" s="17">
        <v>-1</v>
      </c>
      <c r="C41" s="17">
        <v>0</v>
      </c>
      <c r="D41" s="17">
        <f>(B9-B41)*COS(2*PI()/64*4)+(C9-C41)*SIN(2*PI()/64*4)</f>
        <v>1.8477590650225735</v>
      </c>
      <c r="E41" s="17">
        <f>-(B9-B41)*SIN(2*PI()/64*4)+(C9-C41)*COS(2*PI()/64*4)</f>
        <v>-0.7653668647301796</v>
      </c>
      <c r="F41" s="17">
        <f>D41+D57</f>
        <v>1.082392200292394</v>
      </c>
      <c r="G41" s="17">
        <f>E41+E57</f>
        <v>-2.613125929752753</v>
      </c>
      <c r="H41" s="17">
        <f>F41+F49</f>
        <v>0</v>
      </c>
      <c r="I41" s="17">
        <f>G41+G49</f>
        <v>-5.226251859505506</v>
      </c>
      <c r="J41" s="17">
        <f>(H37-H41)*COS(2*PI()/8*0)+(I37-I41)*SIN(2*PI()/8*0)</f>
        <v>2</v>
      </c>
      <c r="K41" s="17">
        <f>-(H37-H41)*SIN(2*PI()/8*0)+(I37-I41)*COS(2*PI()/8*0)</f>
        <v>0.39782473475931646</v>
      </c>
      <c r="L41" s="17">
        <f>J41+J43</f>
        <v>2</v>
      </c>
      <c r="M41" s="17">
        <f>K41+K43</f>
        <v>-1.6413575816573198</v>
      </c>
      <c r="N41" s="17">
        <f>L41+L42</f>
        <v>2</v>
      </c>
      <c r="O41" s="17">
        <f>M41+M42</f>
        <v>-4.22864471509728</v>
      </c>
      <c r="P41" s="17">
        <f>N14/$P$1</f>
        <v>0</v>
      </c>
      <c r="Q41" s="17">
        <f>O14/$P$1</f>
        <v>0</v>
      </c>
      <c r="R41" s="18" t="s">
        <v>97</v>
      </c>
      <c r="S41" s="17"/>
      <c r="T41" s="17"/>
    </row>
    <row r="42" spans="1:20" ht="12.75">
      <c r="A42" s="16" t="s">
        <v>98</v>
      </c>
      <c r="B42" s="17">
        <v>-1</v>
      </c>
      <c r="C42" s="17">
        <v>0</v>
      </c>
      <c r="D42" s="17">
        <f>(B10-B42)*COS(2*PI()/64*5)+(C10-C42)*SIN(2*PI()/64*5)</f>
        <v>1.76384252869671</v>
      </c>
      <c r="E42" s="17">
        <f>-(B10-B42)*SIN(2*PI()/64*5)+(C10-C42)*COS(2*PI()/64*5)</f>
        <v>-0.9427934736519953</v>
      </c>
      <c r="F42" s="17">
        <f>D42+D58</f>
        <v>0.8210490550447147</v>
      </c>
      <c r="G42" s="17">
        <f>E42+E58</f>
        <v>-2.7066360023487053</v>
      </c>
      <c r="H42" s="17">
        <f>F42+F50</f>
        <v>-0.5122622619107784</v>
      </c>
      <c r="I42" s="17">
        <f>G42+G50</f>
        <v>-5.201086028322048</v>
      </c>
      <c r="J42" s="17">
        <f>(H38-H42)*COS(2*PI()/8*1)+(I38-I42)*SIN(2*PI()/8*1)</f>
        <v>1.5763092469025004</v>
      </c>
      <c r="K42" s="17">
        <f>-(H38-H42)*SIN(2*PI()/8*1)+(I38-I42)*COS(2*PI()/8*1)</f>
        <v>-1.2936435667199804</v>
      </c>
      <c r="L42" s="17">
        <f>J42+J44</f>
        <v>0</v>
      </c>
      <c r="M42" s="17">
        <f>K42+K44</f>
        <v>-2.5872871334399603</v>
      </c>
      <c r="N42" s="17">
        <f>(L41-L42)*COS(2*PI()/2*0)+(M41-M42)*SIN(2*PI()/2*0)</f>
        <v>2</v>
      </c>
      <c r="O42" s="17">
        <f>-(L41-L42)*SIN(2*PI()/2*0)+(M41-M42)*COS(2*PI()/2*0)</f>
        <v>0.9459295517826405</v>
      </c>
      <c r="P42" s="17">
        <f>N46/$P$1</f>
        <v>0.03125</v>
      </c>
      <c r="Q42" s="17">
        <f>O46/$P$1</f>
        <v>0.007827717505978306</v>
      </c>
      <c r="R42" s="18" t="s">
        <v>99</v>
      </c>
      <c r="S42" s="17"/>
      <c r="T42" s="17"/>
    </row>
    <row r="43" spans="1:20" ht="12.75">
      <c r="A43" s="16" t="s">
        <v>100</v>
      </c>
      <c r="B43" s="17">
        <v>-1</v>
      </c>
      <c r="C43" s="17">
        <v>0</v>
      </c>
      <c r="D43" s="17">
        <f>(B11-B43)*COS(2*PI()/64*6)+(C11-C43)*SIN(2*PI()/64*6)</f>
        <v>1.6629392246050905</v>
      </c>
      <c r="E43" s="17">
        <f>-(B11-B43)*SIN(2*PI()/64*6)+(C11-C43)*COS(2*PI()/64*6)</f>
        <v>-1.1111404660392044</v>
      </c>
      <c r="F43" s="17">
        <f>D43+D59</f>
        <v>0.5517987585658866</v>
      </c>
      <c r="G43" s="17">
        <f>E43+E59</f>
        <v>-2.774079690644295</v>
      </c>
      <c r="H43" s="17">
        <f>F43+F51</f>
        <v>-1.0195911582083177</v>
      </c>
      <c r="I43" s="17">
        <f>G43+G51</f>
        <v>-5.125830895483013</v>
      </c>
      <c r="J43" s="17">
        <f>(H39-H43)*COS(2*PI()/8*2)+(I39-I43)*SIN(2*PI()/8*2)</f>
        <v>1.2486390483387594E-16</v>
      </c>
      <c r="K43" s="17">
        <f>-(H39-H43)*SIN(2*PI()/8*2)+(I39-I43)*COS(2*PI()/8*2)</f>
        <v>-2.0391823164166363</v>
      </c>
      <c r="L43" s="17">
        <f>(J41-J43)*COS(2*PI()/4*0)+(K41-K43)*SIN(2*PI()/4*0)</f>
        <v>1.9999999999999998</v>
      </c>
      <c r="M43" s="17">
        <f>-(J41-J43)*SIN(2*PI()/4*0)+(K41-K43)*COS(2*PI()/4*0)</f>
        <v>2.4370070511759527</v>
      </c>
      <c r="N43" s="17">
        <f>L43+L44</f>
        <v>2</v>
      </c>
      <c r="O43" s="17">
        <f>M43+M44</f>
        <v>-0.7156114426290485</v>
      </c>
      <c r="P43" s="17">
        <f>N30/$P$1</f>
        <v>0</v>
      </c>
      <c r="Q43" s="17">
        <f>O30/$P$1</f>
        <v>0</v>
      </c>
      <c r="R43" s="18" t="s">
        <v>101</v>
      </c>
      <c r="S43" s="17"/>
      <c r="T43" s="17"/>
    </row>
    <row r="44" spans="1:20" ht="12.75">
      <c r="A44" s="16" t="s">
        <v>102</v>
      </c>
      <c r="B44" s="17">
        <v>-1</v>
      </c>
      <c r="C44" s="17">
        <v>0</v>
      </c>
      <c r="D44" s="17">
        <f>(B12-B44)*COS(2*PI()/64*7)+(C12-C44)*SIN(2*PI()/64*7)</f>
        <v>1.546020906725474</v>
      </c>
      <c r="E44" s="17">
        <f>-(B12-B44)*SIN(2*PI()/64*7)+(C12-C44)*COS(2*PI()/64*7)</f>
        <v>-1.268786568327291</v>
      </c>
      <c r="F44" s="17">
        <f>D44+D60</f>
        <v>0.27723433839818323</v>
      </c>
      <c r="G44" s="17">
        <f>E44+E60</f>
        <v>-2.814807475052765</v>
      </c>
      <c r="H44" s="17">
        <f>F44+F52</f>
        <v>-1.5171008342870889</v>
      </c>
      <c r="I44" s="17">
        <f>G44+G52</f>
        <v>-5.00121120905628</v>
      </c>
      <c r="J44" s="17">
        <f>(H40-H44)*COS(2*PI()/8*3)+(I40-I44)*SIN(2*PI()/8*3)</f>
        <v>-1.5763092469025008</v>
      </c>
      <c r="K44" s="17">
        <f>-(H40-H44)*SIN(2*PI()/8*3)+(I40-I44)*COS(2*PI()/8*3)</f>
        <v>-1.2936435667199802</v>
      </c>
      <c r="L44" s="17">
        <f>(J42-J44)*COS(2*PI()/4*1)+(K42-K44)*SIN(2*PI()/4*1)</f>
        <v>1.9304220736855223E-16</v>
      </c>
      <c r="M44" s="17">
        <f>-(J42-J44)*SIN(2*PI()/4*1)+(K42-K44)*COS(2*PI()/4*1)</f>
        <v>-3.1526184938050013</v>
      </c>
      <c r="N44" s="17">
        <f>(L43-L44)*COS(2*PI()/2*0)+(M43-M44)*SIN(2*PI()/2*0)</f>
        <v>1.9999999999999996</v>
      </c>
      <c r="O44" s="17">
        <f>-(L43-L44)*SIN(2*PI()/2*0)+(M43-M44)*COS(2*PI()/2*0)</f>
        <v>5.589625544980954</v>
      </c>
      <c r="P44" s="17">
        <f>N62/$P$1</f>
        <v>0.031249999999999997</v>
      </c>
      <c r="Q44" s="17">
        <f>O62/$P$1</f>
        <v>0.011181428791078862</v>
      </c>
      <c r="R44" s="18" t="s">
        <v>103</v>
      </c>
      <c r="S44" s="17"/>
      <c r="T44" s="17"/>
    </row>
    <row r="45" spans="1:20" ht="12.75">
      <c r="A45" s="16" t="s">
        <v>104</v>
      </c>
      <c r="B45" s="17">
        <v>-1</v>
      </c>
      <c r="C45" s="17">
        <v>0</v>
      </c>
      <c r="D45" s="17">
        <f>(B13-B45)*COS(2*PI()/64*8)+(C13-C45)*SIN(2*PI()/64*8)</f>
        <v>1.4142135623730951</v>
      </c>
      <c r="E45" s="17">
        <f>-(B13-B45)*SIN(2*PI()/64*8)+(C13-C45)*COS(2*PI()/64*8)</f>
        <v>-1.414213562373095</v>
      </c>
      <c r="F45" s="17">
        <f>D45+D61</f>
        <v>0</v>
      </c>
      <c r="G45" s="17">
        <f>E45+E61</f>
        <v>-2.82842712474619</v>
      </c>
      <c r="H45" s="17">
        <f>(F37-F45)*COS(2*PI()/16*0)+(G37-G45)*SIN(2*PI()/16*0)</f>
        <v>2</v>
      </c>
      <c r="I45" s="17">
        <f>-(F37-F45)*SIN(2*PI()/16*0)+(G37-G45)*COS(2*PI()/16*0)</f>
        <v>0.8284271247461898</v>
      </c>
      <c r="J45" s="17">
        <f>H45+H49</f>
        <v>2</v>
      </c>
      <c r="K45" s="17">
        <f>I45+I49</f>
        <v>-1.3363572758385978</v>
      </c>
      <c r="L45" s="17">
        <f>J45+J47</f>
        <v>2</v>
      </c>
      <c r="M45" s="17">
        <f>K45+K47</f>
        <v>-3.7417368235787793</v>
      </c>
      <c r="N45" s="17">
        <f>L45+L46</f>
        <v>2</v>
      </c>
      <c r="O45" s="17">
        <f>M45+M46</f>
        <v>-7.984447567540171</v>
      </c>
      <c r="P45" s="17">
        <f>N10/$P$1</f>
        <v>0</v>
      </c>
      <c r="Q45" s="17">
        <f>O10/$P$1</f>
        <v>0</v>
      </c>
      <c r="R45" s="18" t="s">
        <v>105</v>
      </c>
      <c r="S45" s="17"/>
      <c r="T45" s="17"/>
    </row>
    <row r="46" spans="1:20" ht="12.75">
      <c r="A46" s="16" t="s">
        <v>106</v>
      </c>
      <c r="B46" s="17">
        <v>-1</v>
      </c>
      <c r="C46" s="17">
        <v>0</v>
      </c>
      <c r="D46" s="17">
        <f>(B14-B46)*COS(2*PI()/64*9)+(C14-C46)*SIN(2*PI()/64*9)</f>
        <v>1.268786568327291</v>
      </c>
      <c r="E46" s="17">
        <f>-(B14-B46)*SIN(2*PI()/64*9)+(C14-C46)*COS(2*PI()/64*9)</f>
        <v>-1.546020906725474</v>
      </c>
      <c r="F46" s="17">
        <f>D46+D62</f>
        <v>-0.277234338398183</v>
      </c>
      <c r="G46" s="17">
        <f>E46+E62</f>
        <v>-2.814807475052765</v>
      </c>
      <c r="H46" s="17">
        <f>(F38-F46)*COS(2*PI()/16*1)+(G38-G46)*SIN(2*PI()/16*1)</f>
        <v>2.154360372000208</v>
      </c>
      <c r="I46" s="17">
        <f>-(F38-F46)*SIN(2*PI()/16*1)+(G38-G46)*COS(2*PI()/16*1)</f>
        <v>-0.21218597637536296</v>
      </c>
      <c r="J46" s="17">
        <f>H46+H50</f>
        <v>1.133888069632716</v>
      </c>
      <c r="K46" s="17">
        <f>I46+I50</f>
        <v>-2.1213553719806955</v>
      </c>
      <c r="L46" s="17">
        <f>J46+J48</f>
        <v>0</v>
      </c>
      <c r="M46" s="17">
        <f>K46+K48</f>
        <v>-4.242710743961391</v>
      </c>
      <c r="N46" s="17">
        <f>(L45-L46)*COS(2*PI()/2*0)+(M45-M46)*SIN(2*PI()/2*0)</f>
        <v>2</v>
      </c>
      <c r="O46" s="17">
        <f>-(L45-L46)*SIN(2*PI()/2*0)+(M45-M46)*COS(2*PI()/2*0)</f>
        <v>0.5009739203826116</v>
      </c>
      <c r="P46" s="17">
        <f>N42/$P$1</f>
        <v>0.03125</v>
      </c>
      <c r="Q46" s="17">
        <f>O42/$P$1</f>
        <v>0.014780149246603758</v>
      </c>
      <c r="R46" s="18" t="s">
        <v>107</v>
      </c>
      <c r="S46" s="17"/>
      <c r="T46" s="17"/>
    </row>
    <row r="47" spans="1:20" ht="12.75">
      <c r="A47" s="16" t="s">
        <v>108</v>
      </c>
      <c r="B47" s="17">
        <v>-1</v>
      </c>
      <c r="C47" s="17">
        <v>0</v>
      </c>
      <c r="D47" s="17">
        <f>(B15-B47)*COS(2*PI()/64*10)+(C15-C47)*SIN(2*PI()/64*10)</f>
        <v>1.1111404660392046</v>
      </c>
      <c r="E47" s="17">
        <f>-(B15-B47)*SIN(2*PI()/64*10)+(C15-C47)*COS(2*PI()/64*10)</f>
        <v>-1.6629392246050905</v>
      </c>
      <c r="F47" s="17">
        <f>D47+D63</f>
        <v>-0.5517987585658861</v>
      </c>
      <c r="G47" s="17">
        <f>E47+E63</f>
        <v>-2.774079690644295</v>
      </c>
      <c r="H47" s="17">
        <f>(F39-F47)*COS(2*PI()/16*2)+(G39-G47)*SIN(2*PI()/16*2)</f>
        <v>1.7999524462728318</v>
      </c>
      <c r="I47" s="17">
        <f>-(F39-F47)*SIN(2*PI()/16*2)+(G39-G47)*COS(2*PI()/16*2)</f>
        <v>-1.2026897738700901</v>
      </c>
      <c r="J47" s="17">
        <f>H47+H51</f>
        <v>0</v>
      </c>
      <c r="K47" s="17">
        <f>I47+I51</f>
        <v>-2.4053795477401816</v>
      </c>
      <c r="L47" s="17">
        <f>(J45-J47)*COS(2*PI()/4*0)+(K45-K47)*SIN(2*PI()/4*0)</f>
        <v>2</v>
      </c>
      <c r="M47" s="17">
        <f>-(J45-J47)*SIN(2*PI()/4*0)+(K45-K47)*COS(2*PI()/4*0)</f>
        <v>1.0690222719015838</v>
      </c>
      <c r="N47" s="17">
        <f>L47+L48</f>
        <v>2</v>
      </c>
      <c r="O47" s="17">
        <f>M47+M48</f>
        <v>-1.198753867363847</v>
      </c>
      <c r="P47" s="17">
        <f>N26/$P$1</f>
        <v>0</v>
      </c>
      <c r="Q47" s="17">
        <f>O26/$P$1</f>
        <v>0</v>
      </c>
      <c r="R47" s="18" t="s">
        <v>109</v>
      </c>
      <c r="S47" s="17"/>
      <c r="T47" s="17"/>
    </row>
    <row r="48" spans="1:20" ht="12.75">
      <c r="A48" s="16" t="s">
        <v>110</v>
      </c>
      <c r="B48" s="17">
        <v>-1</v>
      </c>
      <c r="C48" s="17">
        <v>0</v>
      </c>
      <c r="D48" s="17">
        <f>(B16-B48)*COS(2*PI()/64*11)+(C16-C48)*SIN(2*PI()/64*11)</f>
        <v>0.9427934736519956</v>
      </c>
      <c r="E48" s="17">
        <f>-(B16-B48)*SIN(2*PI()/64*11)+(C16-C48)*COS(2*PI()/64*11)</f>
        <v>-1.7638425286967099</v>
      </c>
      <c r="F48" s="17">
        <f>D48+D64</f>
        <v>-0.8210490550447143</v>
      </c>
      <c r="G48" s="17">
        <f>E48+E64</f>
        <v>-2.7066360023487057</v>
      </c>
      <c r="H48" s="17">
        <f>(F40-F48)*COS(2*PI()/16*3)+(G40-G48)*SIN(2*PI()/16*3)</f>
        <v>1.0204723023674926</v>
      </c>
      <c r="I48" s="17">
        <f>-(F40-F48)*SIN(2*PI()/16*3)+(G40-G48)*COS(2*PI()/16*3)</f>
        <v>-1.909169395605332</v>
      </c>
      <c r="J48" s="17">
        <f>H48+H52</f>
        <v>-1.133888069632715</v>
      </c>
      <c r="K48" s="17">
        <f>I48+I52</f>
        <v>-2.121355371980695</v>
      </c>
      <c r="L48" s="17">
        <f>(J46-J48)*COS(2*PI()/4*1)+(K46-K48)*SIN(2*PI()/4*1)</f>
        <v>1.388612395067076E-16</v>
      </c>
      <c r="M48" s="17">
        <f>-(J46-J48)*SIN(2*PI()/4*1)+(K46-K48)*COS(2*PI()/4*1)</f>
        <v>-2.2677761392654308</v>
      </c>
      <c r="N48" s="17">
        <f>(L47-L48)*COS(2*PI()/2*0)+(M47-M48)*SIN(2*PI()/2*0)</f>
        <v>1.9999999999999998</v>
      </c>
      <c r="O48" s="17">
        <f>-(L47-L48)*SIN(2*PI()/2*0)+(M47-M48)*COS(2*PI()/2*0)</f>
        <v>3.3367984111670146</v>
      </c>
      <c r="P48" s="17">
        <f>N58/$P$1</f>
        <v>0.03125</v>
      </c>
      <c r="Q48" s="17">
        <f>O58/$P$1</f>
        <v>0.018730529177560157</v>
      </c>
      <c r="R48" s="18" t="s">
        <v>111</v>
      </c>
      <c r="S48" s="17"/>
      <c r="T48" s="17"/>
    </row>
    <row r="49" spans="1:20" ht="12.75">
      <c r="A49" s="16" t="s">
        <v>112</v>
      </c>
      <c r="B49" s="17">
        <v>-1</v>
      </c>
      <c r="C49" s="17">
        <v>0</v>
      </c>
      <c r="D49" s="17">
        <f>(B17-B49)*COS(2*PI()/64*12)+(C17-C49)*SIN(2*PI()/64*12)</f>
        <v>0.7653668647301797</v>
      </c>
      <c r="E49" s="17">
        <f>-(B17-B49)*SIN(2*PI()/64*12)+(C17-C49)*COS(2*PI()/64*12)</f>
        <v>-1.8477590650225735</v>
      </c>
      <c r="F49" s="17">
        <f>D49+D65</f>
        <v>-1.0823922002923938</v>
      </c>
      <c r="G49" s="17">
        <f>E49+E65</f>
        <v>-2.613125929752753</v>
      </c>
      <c r="H49" s="17">
        <f>(F41-F49)*COS(2*PI()/16*4)+(G41-G49)*SIN(2*PI()/16*4)</f>
        <v>1.325548143510141E-16</v>
      </c>
      <c r="I49" s="17">
        <f>-(F41-F49)*SIN(2*PI()/16*4)+(G41-G49)*COS(2*PI()/16*4)</f>
        <v>-2.1647844005847876</v>
      </c>
      <c r="J49" s="17">
        <f>(H45-H49)*COS(2*PI()/8*0)+(I45-I49)*SIN(2*PI()/8*0)</f>
        <v>1.9999999999999998</v>
      </c>
      <c r="K49" s="17">
        <f>-(H45-H49)*SIN(2*PI()/8*0)+(I45-I49)*COS(2*PI()/8*0)</f>
        <v>2.9932115253309775</v>
      </c>
      <c r="L49" s="17">
        <f>J49+J51</f>
        <v>2</v>
      </c>
      <c r="M49" s="17">
        <f>K49+K51</f>
        <v>-0.6066933672146857</v>
      </c>
      <c r="N49" s="17">
        <f>L49+L50</f>
        <v>2</v>
      </c>
      <c r="O49" s="17">
        <f>M49+M50</f>
        <v>-2.696687826973441</v>
      </c>
      <c r="P49" s="17">
        <f>N18/$P$1</f>
        <v>0</v>
      </c>
      <c r="Q49" s="17">
        <f>O18/$P$1</f>
        <v>0</v>
      </c>
      <c r="R49" s="18" t="s">
        <v>113</v>
      </c>
      <c r="S49" s="17"/>
      <c r="T49" s="17"/>
    </row>
    <row r="50" spans="1:20" ht="12.75">
      <c r="A50" s="16" t="s">
        <v>114</v>
      </c>
      <c r="B50" s="17">
        <v>-1</v>
      </c>
      <c r="C50" s="17">
        <v>0</v>
      </c>
      <c r="D50" s="17">
        <f>(B18-B50)*COS(2*PI()/64*13)+(C18-C50)*SIN(2*PI()/64*13)</f>
        <v>0.5805693545089247</v>
      </c>
      <c r="E50" s="17">
        <f>-(B18-B50)*SIN(2*PI()/64*13)+(C18-C50)*COS(2*PI()/64*13)</f>
        <v>-1.9138806714644179</v>
      </c>
      <c r="F50" s="17">
        <f>D50+D66</f>
        <v>-1.333311316955493</v>
      </c>
      <c r="G50" s="17">
        <f>E50+E66</f>
        <v>-2.4944500259733426</v>
      </c>
      <c r="H50" s="17">
        <f>(F42-F50)*COS(2*PI()/16*5)+(G42-G50)*SIN(2*PI()/16*5)</f>
        <v>-1.020472302367492</v>
      </c>
      <c r="I50" s="17">
        <f>-(F42-F50)*SIN(2*PI()/16*5)+(G42-G50)*COS(2*PI()/16*5)</f>
        <v>-1.9091693956053324</v>
      </c>
      <c r="J50" s="17">
        <f>(H46-H50)*COS(2*PI()/8*1)+(I46-I50)*SIN(2*PI()/8*1)</f>
        <v>3.444894196476668</v>
      </c>
      <c r="K50" s="17">
        <f>-(H46-H50)*SIN(2*PI()/8*1)+(I46-I50)*COS(2*PI()/8*1)</f>
        <v>-1.044997229879377</v>
      </c>
      <c r="L50" s="17">
        <f>J50+J52</f>
        <v>0</v>
      </c>
      <c r="M50" s="17">
        <f>K50+K52</f>
        <v>-2.0899944597587554</v>
      </c>
      <c r="N50" s="17">
        <f>(L49-L50)*COS(2*PI()/2*0)+(M49-M50)*SIN(2*PI()/2*0)</f>
        <v>2</v>
      </c>
      <c r="O50" s="17">
        <f>-(L49-L50)*SIN(2*PI()/2*0)+(M49-M50)*COS(2*PI()/2*0)</f>
        <v>1.4833010925440697</v>
      </c>
      <c r="P50" s="17">
        <f>N50/$P$1</f>
        <v>0.03125</v>
      </c>
      <c r="Q50" s="17">
        <f>O50/$P$1</f>
        <v>0.02317657957100109</v>
      </c>
      <c r="R50" s="18" t="s">
        <v>115</v>
      </c>
      <c r="S50" s="17"/>
      <c r="T50" s="17"/>
    </row>
    <row r="51" spans="1:20" ht="12.75">
      <c r="A51" s="16" t="s">
        <v>116</v>
      </c>
      <c r="B51" s="17">
        <v>-1</v>
      </c>
      <c r="C51" s="17">
        <v>0</v>
      </c>
      <c r="D51" s="17">
        <f>(B19-B51)*COS(2*PI()/64*14)+(C19-C51)*SIN(2*PI()/64*14)</f>
        <v>0.39018064403225666</v>
      </c>
      <c r="E51" s="17">
        <f>-(B19-B51)*SIN(2*PI()/64*14)+(C19-C51)*COS(2*PI()/64*14)</f>
        <v>-1.9615705608064609</v>
      </c>
      <c r="F51" s="17">
        <f>D51+D67</f>
        <v>-1.5713899167742043</v>
      </c>
      <c r="G51" s="17">
        <f>E51+E67</f>
        <v>-2.351751204838718</v>
      </c>
      <c r="H51" s="17">
        <f>(F43-F51)*COS(2*PI()/16*6)+(G43-G51)*SIN(2*PI()/16*6)</f>
        <v>-1.7999524462728314</v>
      </c>
      <c r="I51" s="17">
        <f>-(F43-F51)*SIN(2*PI()/16*6)+(G43-G51)*COS(2*PI()/16*6)</f>
        <v>-1.2026897738700915</v>
      </c>
      <c r="J51" s="17">
        <f>(H47-H51)*COS(2*PI()/8*2)+(I47-I51)*SIN(2*PI()/8*2)</f>
        <v>2.2043060019454716E-16</v>
      </c>
      <c r="K51" s="17">
        <f>-(H47-H51)*SIN(2*PI()/8*2)+(I47-I51)*COS(2*PI()/8*2)</f>
        <v>-3.599904892545663</v>
      </c>
      <c r="L51" s="17">
        <f>(J49-J51)*COS(2*PI()/4*0)+(K49-K51)*SIN(2*PI()/4*0)</f>
        <v>1.9999999999999996</v>
      </c>
      <c r="M51" s="17">
        <f>-(J49-J51)*SIN(2*PI()/4*0)+(K49-K51)*COS(2*PI()/4*0)</f>
        <v>6.59311641787664</v>
      </c>
      <c r="N51" s="17">
        <f>L51+L52</f>
        <v>2</v>
      </c>
      <c r="O51" s="17">
        <f>M51+M52</f>
        <v>-0.29667197507669485</v>
      </c>
      <c r="P51" s="17">
        <f>N34/$P$1</f>
        <v>0</v>
      </c>
      <c r="Q51" s="17">
        <f>O34/$P$1</f>
        <v>0</v>
      </c>
      <c r="R51" s="18" t="s">
        <v>117</v>
      </c>
      <c r="S51" s="17"/>
      <c r="T51" s="17"/>
    </row>
    <row r="52" spans="1:20" ht="12.75">
      <c r="A52" s="16" t="s">
        <v>118</v>
      </c>
      <c r="B52" s="17">
        <v>-1</v>
      </c>
      <c r="C52" s="17">
        <v>0</v>
      </c>
      <c r="D52" s="17">
        <f>(B20-B52)*COS(2*PI()/64*15)+(C20-C52)*SIN(2*PI()/64*15)</f>
        <v>0.19603428065912154</v>
      </c>
      <c r="E52" s="17">
        <f>-(B20-B52)*SIN(2*PI()/64*15)+(C20-C52)*COS(2*PI()/64*15)</f>
        <v>-1.9903694533443936</v>
      </c>
      <c r="F52" s="17">
        <f>D52+D68</f>
        <v>-1.794335172685272</v>
      </c>
      <c r="G52" s="17">
        <f>E52+E68</f>
        <v>-2.186403734003515</v>
      </c>
      <c r="H52" s="17">
        <f>(F44-F52)*COS(2*PI()/16*7)+(G44-G52)*SIN(2*PI()/16*7)</f>
        <v>-2.1543603720002076</v>
      </c>
      <c r="I52" s="17">
        <f>-(F44-F52)*SIN(2*PI()/16*7)+(G44-G52)*COS(2*PI()/16*7)</f>
        <v>-0.21218597637536307</v>
      </c>
      <c r="J52" s="17">
        <f>(H48-H52)*COS(2*PI()/8*3)+(I48-I52)*SIN(2*PI()/8*3)</f>
        <v>-3.4448941964766675</v>
      </c>
      <c r="K52" s="17">
        <f>-(H48-H52)*SIN(2*PI()/8*3)+(I48-I52)*COS(2*PI()/8*3)</f>
        <v>-1.0449972298793782</v>
      </c>
      <c r="L52" s="17">
        <f>(J50-J52)*COS(2*PI()/4*1)+(K50-K52)*SIN(2*PI()/4*1)</f>
        <v>4.2187786511164443E-16</v>
      </c>
      <c r="M52" s="17">
        <f>-(J50-J52)*SIN(2*PI()/4*1)+(K50-K52)*COS(2*PI()/4*1)</f>
        <v>-6.889788392953335</v>
      </c>
      <c r="N52" s="17">
        <f>(L51-L52)*COS(2*PI()/2*0)+(M51-M52)*SIN(2*PI()/2*0)</f>
        <v>1.9999999999999991</v>
      </c>
      <c r="O52" s="17">
        <f>-(L51-L52)*SIN(2*PI()/2*0)+(M51-M52)*COS(2*PI()/2*0)</f>
        <v>13.482904810829975</v>
      </c>
      <c r="P52" s="17">
        <f>N66/$P$1</f>
        <v>0.03125</v>
      </c>
      <c r="Q52" s="17">
        <f>O66/$P$1</f>
        <v>0.028323349031848424</v>
      </c>
      <c r="R52" s="18" t="s">
        <v>119</v>
      </c>
      <c r="S52" s="17"/>
      <c r="T52" s="17"/>
    </row>
    <row r="53" spans="1:20" ht="12.75">
      <c r="A53" s="16" t="s">
        <v>120</v>
      </c>
      <c r="B53" s="17">
        <v>-1</v>
      </c>
      <c r="C53" s="17">
        <v>0</v>
      </c>
      <c r="D53" s="17">
        <f>(B21-B53)*COS(2*PI()/64*16)+(C21-C53)*SIN(2*PI()/64*16)</f>
        <v>1.2246467991473532E-16</v>
      </c>
      <c r="E53" s="17">
        <f>-(B21-B53)*SIN(2*PI()/64*16)+(C21-C53)*COS(2*PI()/64*16)</f>
        <v>-2</v>
      </c>
      <c r="F53" s="17">
        <f>(D37-D53)*COS(2*PI()/32*0)+(E37-E53)*SIN(2*PI()/32*0)</f>
        <v>1.9999999999999998</v>
      </c>
      <c r="G53" s="17">
        <f>-(D37-D53)*SIN(2*PI()/32*0)+(E37-E53)*COS(2*PI()/32*0)</f>
        <v>2</v>
      </c>
      <c r="H53" s="17">
        <f>F53+F61</f>
        <v>2</v>
      </c>
      <c r="I53" s="17">
        <f>G53+G61</f>
        <v>-0.8284271247461898</v>
      </c>
      <c r="J53" s="17">
        <f>H53+H57</f>
        <v>2</v>
      </c>
      <c r="K53" s="17">
        <f>I53+I57</f>
        <v>-2.9932115253309783</v>
      </c>
      <c r="L53" s="17">
        <f>J53+J55</f>
        <v>2</v>
      </c>
      <c r="M53" s="17">
        <f>K53+K55</f>
        <v>-6.593116417876642</v>
      </c>
      <c r="N53" s="17">
        <f>L53+L54</f>
        <v>2</v>
      </c>
      <c r="O53" s="17">
        <f>M53+M54</f>
        <v>-13.482904810829979</v>
      </c>
      <c r="P53" s="17">
        <f>N8/$P$1</f>
        <v>0</v>
      </c>
      <c r="Q53" s="17">
        <f>O8/$P$1</f>
        <v>0</v>
      </c>
      <c r="R53" s="18" t="s">
        <v>121</v>
      </c>
      <c r="S53" s="17"/>
      <c r="T53" s="17"/>
    </row>
    <row r="54" spans="1:20" ht="12.75">
      <c r="A54" s="16" t="s">
        <v>122</v>
      </c>
      <c r="B54" s="17">
        <v>-1</v>
      </c>
      <c r="C54" s="17">
        <v>0</v>
      </c>
      <c r="D54" s="17">
        <f>(B22-B54)*COS(2*PI()/64*17)+(C22-C54)*SIN(2*PI()/64*17)</f>
        <v>-0.1960342806591213</v>
      </c>
      <c r="E54" s="17">
        <f>-(B22-B54)*SIN(2*PI()/64*17)+(C22-C54)*COS(2*PI()/64*17)</f>
        <v>-1.9903694533443939</v>
      </c>
      <c r="F54" s="17">
        <f>(D38-D54)*COS(2*PI()/32*1)+(E38-E54)*SIN(2*PI()/32*1)</f>
        <v>2.4944500259733426</v>
      </c>
      <c r="G54" s="17">
        <f>-(D38-D54)*SIN(2*PI()/32*1)+(E38-E54)*COS(2*PI()/32*1)</f>
        <v>1.3333113169554929</v>
      </c>
      <c r="H54" s="17">
        <f>F54+F62</f>
        <v>1.673400970928628</v>
      </c>
      <c r="I54" s="17">
        <f>G54+G62</f>
        <v>-1.3733246853932128</v>
      </c>
      <c r="J54" s="17">
        <f>H54+H58</f>
        <v>1.044997229879378</v>
      </c>
      <c r="K54" s="17">
        <f>I54+I58</f>
        <v>-3.4448941964766675</v>
      </c>
      <c r="L54" s="17">
        <f>J54+J56</f>
        <v>0</v>
      </c>
      <c r="M54" s="17">
        <f>K54+K56</f>
        <v>-6.889788392953338</v>
      </c>
      <c r="N54" s="17">
        <f>(L53-L54)*COS(2*PI()/2*0)+(M53-M54)*SIN(2*PI()/2*0)</f>
        <v>2</v>
      </c>
      <c r="O54" s="17">
        <f>-(L53-L54)*SIN(2*PI()/2*0)+(M53-M54)*COS(2*PI()/2*0)</f>
        <v>0.29667197507669574</v>
      </c>
      <c r="P54" s="17">
        <f>N40/$P$1</f>
        <v>0.031249999999999997</v>
      </c>
      <c r="Q54" s="17">
        <f>O40/$P$1</f>
        <v>0.0344790617416711</v>
      </c>
      <c r="R54" s="18" t="s">
        <v>123</v>
      </c>
      <c r="S54" s="17"/>
      <c r="T54" s="17"/>
    </row>
    <row r="55" spans="1:20" ht="12.75">
      <c r="A55" s="16" t="s">
        <v>124</v>
      </c>
      <c r="B55" s="17">
        <v>-1</v>
      </c>
      <c r="C55" s="17">
        <v>0</v>
      </c>
      <c r="D55" s="17">
        <f>(B23-B55)*COS(2*PI()/64*18)+(C23-C55)*SIN(2*PI()/64*18)</f>
        <v>-0.3901806440322564</v>
      </c>
      <c r="E55" s="17">
        <f>-(B23-B55)*SIN(2*PI()/64*18)+(C23-C55)*COS(2*PI()/64*18)</f>
        <v>-1.9615705608064609</v>
      </c>
      <c r="F55" s="17">
        <f>(D39-D55)*COS(2*PI()/32*2)+(E39-E55)*SIN(2*PI()/32*2)</f>
        <v>2.774079690644295</v>
      </c>
      <c r="G55" s="17">
        <f>-(D39-D55)*SIN(2*PI()/32*2)+(E39-E55)*COS(2*PI()/32*2)</f>
        <v>0.5517987585658861</v>
      </c>
      <c r="H55" s="17">
        <f>F55+F63</f>
        <v>1.2026897738700906</v>
      </c>
      <c r="I55" s="17">
        <f>G55+G63</f>
        <v>-1.7999524462728316</v>
      </c>
      <c r="J55" s="17">
        <f>H55+H59</f>
        <v>0</v>
      </c>
      <c r="K55" s="17">
        <f>I55+I59</f>
        <v>-3.599904892545663</v>
      </c>
      <c r="L55" s="17">
        <f>(J53-J55)*COS(2*PI()/4*0)+(K53-K55)*SIN(2*PI()/4*0)</f>
        <v>2</v>
      </c>
      <c r="M55" s="17">
        <f>-(J53-J55)*SIN(2*PI()/4*0)+(K53-K55)*COS(2*PI()/4*0)</f>
        <v>0.6066933672146848</v>
      </c>
      <c r="N55" s="17">
        <f>L55+L56</f>
        <v>2</v>
      </c>
      <c r="O55" s="17">
        <f>M55+M56</f>
        <v>-1.4833010925440706</v>
      </c>
      <c r="P55" s="17">
        <f>N24/$P$1</f>
        <v>0</v>
      </c>
      <c r="Q55" s="17">
        <f>O24/$P$1</f>
        <v>0</v>
      </c>
      <c r="R55" s="18" t="s">
        <v>125</v>
      </c>
      <c r="S55" s="17"/>
      <c r="T55" s="17"/>
    </row>
    <row r="56" spans="1:20" ht="12.75">
      <c r="A56" s="16" t="s">
        <v>126</v>
      </c>
      <c r="B56" s="17">
        <v>-1</v>
      </c>
      <c r="C56" s="17">
        <v>0</v>
      </c>
      <c r="D56" s="17">
        <f>(B24-B56)*COS(2*PI()/64*19)+(C24-C56)*SIN(2*PI()/64*19)</f>
        <v>-0.5805693545089243</v>
      </c>
      <c r="E56" s="17">
        <f>-(B24-B56)*SIN(2*PI()/64*19)+(C24-C56)*COS(2*PI()/64*19)</f>
        <v>-1.9138806714644179</v>
      </c>
      <c r="F56" s="17">
        <f>(D40-D56)*COS(2*PI()/32*3)+(E40-E56)*SIN(2*PI()/32*3)</f>
        <v>2.8148074750527647</v>
      </c>
      <c r="G56" s="17">
        <f>-(D40-D56)*SIN(2*PI()/32*3)+(E40-E56)*COS(2*PI()/32*3)</f>
        <v>-0.27723433839818257</v>
      </c>
      <c r="H56" s="17">
        <f>F56+F64</f>
        <v>0.6284037410492505</v>
      </c>
      <c r="I56" s="17">
        <f>G56+G64</f>
        <v>-2.0715695110834567</v>
      </c>
      <c r="J56" s="17">
        <f>H56+H60</f>
        <v>-1.0449972298793775</v>
      </c>
      <c r="K56" s="17">
        <f>I56+I60</f>
        <v>-3.44489419647667</v>
      </c>
      <c r="L56" s="17">
        <f>(J54-J56)*COS(2*PI()/4*1)+(K54-K56)*SIN(2*PI()/4*1)</f>
        <v>1.2797525126896309E-16</v>
      </c>
      <c r="M56" s="17">
        <f>-(J54-J56)*SIN(2*PI()/4*1)+(K54-K56)*COS(2*PI()/4*1)</f>
        <v>-2.0899944597587554</v>
      </c>
      <c r="N56" s="17">
        <f>(L55-L56)*COS(2*PI()/2*0)+(M55-M56)*SIN(2*PI()/2*0)</f>
        <v>1.9999999999999998</v>
      </c>
      <c r="O56" s="17">
        <f>-(L55-L56)*SIN(2*PI()/2*0)+(M55-M56)*COS(2*PI()/2*0)</f>
        <v>2.6966878269734402</v>
      </c>
      <c r="P56" s="17">
        <f>N56/$P$1</f>
        <v>0.031249999999999997</v>
      </c>
      <c r="Q56" s="17">
        <f>O56/$P$1</f>
        <v>0.042135747296460004</v>
      </c>
      <c r="R56" s="18" t="s">
        <v>127</v>
      </c>
      <c r="S56" s="17"/>
      <c r="T56" s="17"/>
    </row>
    <row r="57" spans="1:20" ht="12.75">
      <c r="A57" s="16" t="s">
        <v>128</v>
      </c>
      <c r="B57" s="17">
        <v>-1</v>
      </c>
      <c r="C57" s="17">
        <v>0</v>
      </c>
      <c r="D57" s="17">
        <f>(B25-B57)*COS(2*PI()/64*20)+(C25-C57)*SIN(2*PI()/64*20)</f>
        <v>-0.7653668647301795</v>
      </c>
      <c r="E57" s="17">
        <f>-(B25-B57)*SIN(2*PI()/64*20)+(C25-C57)*COS(2*PI()/64*20)</f>
        <v>-1.8477590650225735</v>
      </c>
      <c r="F57" s="17">
        <f>(D41-D57)*COS(2*PI()/32*4)+(E41-E57)*SIN(2*PI()/32*4)</f>
        <v>2.613125929752753</v>
      </c>
      <c r="G57" s="17">
        <f>-(D41-D57)*SIN(2*PI()/32*4)+(E41-E57)*COS(2*PI()/32*4)</f>
        <v>-1.082392200292394</v>
      </c>
      <c r="H57" s="17">
        <f>F57+F65</f>
        <v>0</v>
      </c>
      <c r="I57" s="17">
        <f>G57+G65</f>
        <v>-2.1647844005847885</v>
      </c>
      <c r="J57" s="17">
        <f>(H53-H57)*COS(2*PI()/8*0)+(I53-I57)*SIN(2*PI()/8*0)</f>
        <v>2</v>
      </c>
      <c r="K57" s="17">
        <f>-(H53-H57)*SIN(2*PI()/8*0)+(I53-I57)*COS(2*PI()/8*0)</f>
        <v>1.3363572758385986</v>
      </c>
      <c r="L57" s="17">
        <f>J57+J59</f>
        <v>2</v>
      </c>
      <c r="M57" s="17">
        <f>K57+K59</f>
        <v>-1.069022271901582</v>
      </c>
      <c r="N57" s="17">
        <f>L57+L58</f>
        <v>2</v>
      </c>
      <c r="O57" s="17">
        <f>M57+M58</f>
        <v>-3.336798411167014</v>
      </c>
      <c r="P57" s="17">
        <f>N16/$P$1</f>
        <v>0</v>
      </c>
      <c r="Q57" s="17">
        <f>O16/$P$1</f>
        <v>0</v>
      </c>
      <c r="R57" s="18" t="s">
        <v>129</v>
      </c>
      <c r="S57" s="17"/>
      <c r="T57" s="17"/>
    </row>
    <row r="58" spans="1:20" ht="12.75">
      <c r="A58" s="16" t="s">
        <v>130</v>
      </c>
      <c r="B58" s="17">
        <v>-1</v>
      </c>
      <c r="C58" s="17">
        <v>0</v>
      </c>
      <c r="D58" s="17">
        <f>(B26-B58)*COS(2*PI()/64*21)+(C26-C58)*SIN(2*PI()/64*21)</f>
        <v>-0.9427934736519954</v>
      </c>
      <c r="E58" s="17">
        <f>-(B26-B58)*SIN(2*PI()/64*21)+(C26-C58)*COS(2*PI()/64*21)</f>
        <v>-1.76384252869671</v>
      </c>
      <c r="F58" s="17">
        <f>(D42-D58)*COS(2*PI()/32*5)+(E42-E58)*SIN(2*PI()/32*5)</f>
        <v>2.186403734003515</v>
      </c>
      <c r="G58" s="17">
        <f>-(D42-D58)*SIN(2*PI()/32*5)+(E42-E58)*COS(2*PI()/32*5)</f>
        <v>-1.7943351726852725</v>
      </c>
      <c r="H58" s="17">
        <f>F58+F66</f>
        <v>-0.62840374104925</v>
      </c>
      <c r="I58" s="17">
        <f>G58+G66</f>
        <v>-2.071569511083455</v>
      </c>
      <c r="J58" s="17">
        <f>(H54-H58)*COS(2*PI()/8*1)+(I54-I58)*SIN(2*PI()/8*1)</f>
        <v>2.1213553719806946</v>
      </c>
      <c r="K58" s="17">
        <f>-(H54-H58)*SIN(2*PI()/8*1)+(I54-I58)*COS(2*PI()/8*1)</f>
        <v>-1.1338880696327163</v>
      </c>
      <c r="L58" s="17">
        <f>J58+J60</f>
        <v>0</v>
      </c>
      <c r="M58" s="17">
        <f>K58+K60</f>
        <v>-2.267776139265432</v>
      </c>
      <c r="N58" s="17">
        <f>(L57-L58)*COS(2*PI()/2*0)+(M57-M58)*SIN(2*PI()/2*0)</f>
        <v>2</v>
      </c>
      <c r="O58" s="17">
        <f>-(L57-L58)*SIN(2*PI()/2*0)+(M57-M58)*COS(2*PI()/2*0)</f>
        <v>1.19875386736385</v>
      </c>
      <c r="P58" s="17">
        <f>N48/$P$1</f>
        <v>0.031249999999999997</v>
      </c>
      <c r="Q58" s="17">
        <f>O48/$P$1</f>
        <v>0.0521374751744846</v>
      </c>
      <c r="R58" s="18" t="s">
        <v>131</v>
      </c>
      <c r="S58" s="17"/>
      <c r="T58" s="17"/>
    </row>
    <row r="59" spans="1:20" ht="12.75">
      <c r="A59" s="16" t="s">
        <v>132</v>
      </c>
      <c r="B59" s="17">
        <v>-1</v>
      </c>
      <c r="C59" s="17">
        <v>0</v>
      </c>
      <c r="D59" s="17">
        <f>(B27-B59)*COS(2*PI()/64*22)+(C27-C59)*SIN(2*PI()/64*22)</f>
        <v>-1.111140466039204</v>
      </c>
      <c r="E59" s="17">
        <f>-(B27-B59)*SIN(2*PI()/64*22)+(C27-C59)*COS(2*PI()/64*22)</f>
        <v>-1.662939224605091</v>
      </c>
      <c r="F59" s="17">
        <f>(D43-D59)*COS(2*PI()/32*6)+(E43-E59)*SIN(2*PI()/32*6)</f>
        <v>1.571389916774205</v>
      </c>
      <c r="G59" s="17">
        <f>-(D43-D59)*SIN(2*PI()/32*6)+(E43-E59)*COS(2*PI()/32*6)</f>
        <v>-2.3517512048387164</v>
      </c>
      <c r="H59" s="17">
        <f>F59+F67</f>
        <v>-1.2026897738700901</v>
      </c>
      <c r="I59" s="17">
        <f>G59+G67</f>
        <v>-1.7999524462728316</v>
      </c>
      <c r="J59" s="17">
        <f>(H55-H59)*COS(2*PI()/8*2)+(I55-I59)*SIN(2*PI()/8*2)</f>
        <v>1.4728701819372602E-16</v>
      </c>
      <c r="K59" s="17">
        <f>-(H55-H59)*SIN(2*PI()/8*2)+(I55-I59)*COS(2*PI()/8*2)</f>
        <v>-2.4053795477401807</v>
      </c>
      <c r="L59" s="17">
        <f>(J57-J59)*COS(2*PI()/4*0)+(K57-K59)*SIN(2*PI()/4*0)</f>
        <v>1.9999999999999998</v>
      </c>
      <c r="M59" s="17">
        <f>-(J57-J59)*SIN(2*PI()/4*0)+(K57-K59)*COS(2*PI()/4*0)</f>
        <v>3.7417368235787793</v>
      </c>
      <c r="N59" s="17">
        <f>L59+L60</f>
        <v>2</v>
      </c>
      <c r="O59" s="17">
        <f>M59+M60</f>
        <v>-0.5009739203826107</v>
      </c>
      <c r="P59" s="17">
        <f>N32/$P$1</f>
        <v>0</v>
      </c>
      <c r="Q59" s="17">
        <f>O32/$P$1</f>
        <v>0</v>
      </c>
      <c r="R59" s="18" t="s">
        <v>133</v>
      </c>
      <c r="S59" s="17"/>
      <c r="T59" s="17"/>
    </row>
    <row r="60" spans="1:20" ht="12.75">
      <c r="A60" s="16" t="s">
        <v>134</v>
      </c>
      <c r="B60" s="17">
        <v>-1</v>
      </c>
      <c r="C60" s="17">
        <v>0</v>
      </c>
      <c r="D60" s="17">
        <f>(B28-B60)*COS(2*PI()/64*23)+(C28-C60)*SIN(2*PI()/64*23)</f>
        <v>-1.2687865683272908</v>
      </c>
      <c r="E60" s="17">
        <f>-(B28-B60)*SIN(2*PI()/64*23)+(C28-C60)*COS(2*PI()/64*23)</f>
        <v>-1.5460209067254742</v>
      </c>
      <c r="F60" s="17">
        <f>(D44-D60)*COS(2*PI()/32*7)+(E44-E60)*SIN(2*PI()/32*7)</f>
        <v>0.8210490550447151</v>
      </c>
      <c r="G60" s="17">
        <f>-(D44-D60)*SIN(2*PI()/32*7)+(E44-E60)*COS(2*PI()/32*7)</f>
        <v>-2.7066360023487053</v>
      </c>
      <c r="H60" s="17">
        <f>F60+F68</f>
        <v>-1.673400970928628</v>
      </c>
      <c r="I60" s="17">
        <f>G60+G68</f>
        <v>-1.3733246853932135</v>
      </c>
      <c r="J60" s="17">
        <f>(H56-H60)*COS(2*PI()/8*3)+(I56-I60)*SIN(2*PI()/8*3)</f>
        <v>-2.1213553719806955</v>
      </c>
      <c r="K60" s="17">
        <f>-(H56-H60)*SIN(2*PI()/8*3)+(I56-I60)*COS(2*PI()/8*3)</f>
        <v>-1.1338880696327158</v>
      </c>
      <c r="L60" s="17">
        <f>(J58-J60)*COS(2*PI()/4*1)+(K58-K60)*SIN(2*PI()/4*1)</f>
        <v>2.597911066150201E-16</v>
      </c>
      <c r="M60" s="17">
        <f>-(J58-J60)*SIN(2*PI()/4*1)+(K58-K60)*COS(2*PI()/4*1)</f>
        <v>-4.24271074396139</v>
      </c>
      <c r="N60" s="17">
        <f>(L59-L60)*COS(2*PI()/2*0)+(M59-M60)*SIN(2*PI()/2*0)</f>
        <v>1.9999999999999996</v>
      </c>
      <c r="O60" s="17">
        <f>-(L59-L60)*SIN(2*PI()/2*0)+(M59-M60)*COS(2*PI()/2*0)</f>
        <v>7.984447567540169</v>
      </c>
      <c r="P60" s="17">
        <f>N64/$P$1</f>
        <v>0.031249999999999993</v>
      </c>
      <c r="Q60" s="17">
        <f>O64/$P$1</f>
        <v>0.06607257367339503</v>
      </c>
      <c r="R60" s="18" t="s">
        <v>135</v>
      </c>
      <c r="S60" s="17"/>
      <c r="T60" s="17"/>
    </row>
    <row r="61" spans="1:20" ht="12.75">
      <c r="A61" s="16" t="s">
        <v>136</v>
      </c>
      <c r="B61" s="17">
        <v>-1</v>
      </c>
      <c r="C61" s="17">
        <v>0</v>
      </c>
      <c r="D61" s="17">
        <f>(B29-B61)*COS(2*PI()/64*24)+(C29-C61)*SIN(2*PI()/64*24)</f>
        <v>-1.414213562373095</v>
      </c>
      <c r="E61" s="17">
        <f>-(B29-B61)*SIN(2*PI()/64*24)+(C29-C61)*COS(2*PI()/64*24)</f>
        <v>-1.4142135623730951</v>
      </c>
      <c r="F61" s="17">
        <f>(D45-D61)*COS(2*PI()/32*8)+(E45-E61)*SIN(2*PI()/32*8)</f>
        <v>1.7319121124709863E-16</v>
      </c>
      <c r="G61" s="17">
        <f>-(D45-D61)*SIN(2*PI()/32*8)+(E45-E61)*COS(2*PI()/32*8)</f>
        <v>-2.82842712474619</v>
      </c>
      <c r="H61" s="17">
        <f>(F53-F61)*COS(2*PI()/16*0)+(G53-G61)*SIN(2*PI()/16*0)</f>
        <v>1.9999999999999996</v>
      </c>
      <c r="I61" s="17">
        <f>-(F53-F61)*SIN(2*PI()/16*0)+(G53-G61)*COS(2*PI()/16*0)</f>
        <v>4.82842712474619</v>
      </c>
      <c r="J61" s="17">
        <f>H61+H65</f>
        <v>1.9999999999999998</v>
      </c>
      <c r="K61" s="17">
        <f>I61+I65</f>
        <v>-0.39782473475931646</v>
      </c>
      <c r="L61" s="17">
        <f>J61+J63</f>
        <v>1.9999999999999998</v>
      </c>
      <c r="M61" s="17">
        <f>K61+K63</f>
        <v>-2.4370070511759545</v>
      </c>
      <c r="N61" s="17">
        <f>L61+L62</f>
        <v>1.9999999999999998</v>
      </c>
      <c r="O61" s="17">
        <f>M61+M62</f>
        <v>-5.589625544980956</v>
      </c>
      <c r="P61" s="17">
        <f>N12/$P$1</f>
        <v>0</v>
      </c>
      <c r="Q61" s="17">
        <f>O12/$P$1</f>
        <v>0</v>
      </c>
      <c r="R61" s="18" t="s">
        <v>137</v>
      </c>
      <c r="S61" s="17"/>
      <c r="T61" s="17"/>
    </row>
    <row r="62" spans="1:20" ht="12.75">
      <c r="A62" s="16" t="s">
        <v>138</v>
      </c>
      <c r="B62" s="17">
        <v>-1</v>
      </c>
      <c r="C62" s="17">
        <v>0</v>
      </c>
      <c r="D62" s="17">
        <f>(B30-B62)*COS(2*PI()/64*25)+(C30-C62)*SIN(2*PI()/64*25)</f>
        <v>-1.546020906725474</v>
      </c>
      <c r="E62" s="17">
        <f>-(B30-B62)*SIN(2*PI()/64*25)+(C30-C62)*COS(2*PI()/64*25)</f>
        <v>-1.268786568327291</v>
      </c>
      <c r="F62" s="17">
        <f>(D46-D62)*COS(2*PI()/32*9)+(E46-E62)*SIN(2*PI()/32*9)</f>
        <v>-0.8210490550447147</v>
      </c>
      <c r="G62" s="17">
        <f>-(D46-D62)*SIN(2*PI()/32*9)+(E46-E62)*COS(2*PI()/32*9)</f>
        <v>-2.7066360023487057</v>
      </c>
      <c r="H62" s="17">
        <f>(F54-F62)*COS(2*PI()/16*1)+(G54-G62)*SIN(2*PI()/16*1)</f>
        <v>4.609142647738038</v>
      </c>
      <c r="I62" s="17">
        <f>-(F54-F62)*SIN(2*PI()/16*1)+(G54-G62)*COS(2*PI()/16*1)</f>
        <v>2.4636380724016984</v>
      </c>
      <c r="J62" s="17">
        <f>H62+H66</f>
        <v>1.2936435667199806</v>
      </c>
      <c r="K62" s="17">
        <f>I62+I66</f>
        <v>-1.5763092469025004</v>
      </c>
      <c r="L62" s="17">
        <f>J62+J64</f>
        <v>0</v>
      </c>
      <c r="M62" s="17">
        <f>K62+K64</f>
        <v>-3.1526184938050017</v>
      </c>
      <c r="N62" s="17">
        <f>(L61-L62)*COS(2*PI()/2*0)+(M61-M62)*SIN(2*PI()/2*0)</f>
        <v>1.9999999999999998</v>
      </c>
      <c r="O62" s="17">
        <f>-(L61-L62)*SIN(2*PI()/2*0)+(M61-M62)*COS(2*PI()/2*0)</f>
        <v>0.7156114426290472</v>
      </c>
      <c r="P62" s="17">
        <f>N44/$P$1</f>
        <v>0.031249999999999993</v>
      </c>
      <c r="Q62" s="17">
        <f>O44/$P$1</f>
        <v>0.08733789914032741</v>
      </c>
      <c r="R62" s="18" t="s">
        <v>139</v>
      </c>
      <c r="S62" s="17"/>
      <c r="T62" s="17"/>
    </row>
    <row r="63" spans="1:20" ht="12.75">
      <c r="A63" s="16" t="s">
        <v>140</v>
      </c>
      <c r="B63" s="17">
        <v>-1</v>
      </c>
      <c r="C63" s="17">
        <v>0</v>
      </c>
      <c r="D63" s="17">
        <f>(B31-B63)*COS(2*PI()/64*26)+(C31-C63)*SIN(2*PI()/64*26)</f>
        <v>-1.6629392246050907</v>
      </c>
      <c r="E63" s="17">
        <f>-(B31-B63)*SIN(2*PI()/64*26)+(C31-C63)*COS(2*PI()/64*26)</f>
        <v>-1.1111404660392044</v>
      </c>
      <c r="F63" s="17">
        <f>(D47-D63)*COS(2*PI()/32*10)+(E47-E63)*SIN(2*PI()/32*10)</f>
        <v>-1.5713899167742045</v>
      </c>
      <c r="G63" s="17">
        <f>-(D47-D63)*SIN(2*PI()/32*10)+(E47-E63)*COS(2*PI()/32*10)</f>
        <v>-2.3517512048387177</v>
      </c>
      <c r="H63" s="17">
        <f>(F55-F63)*COS(2*PI()/16*2)+(G55-G63)*SIN(2*PI()/16*2)</f>
        <v>5.125830895483013</v>
      </c>
      <c r="I63" s="17">
        <f>-(F55-F63)*SIN(2*PI()/16*2)+(G55-G63)*COS(2*PI()/16*2)</f>
        <v>-1.0195911582083172</v>
      </c>
      <c r="J63" s="17">
        <f>H63+H67</f>
        <v>0</v>
      </c>
      <c r="K63" s="17">
        <f>I63+I67</f>
        <v>-2.039182316416638</v>
      </c>
      <c r="L63" s="17">
        <f>(J61-J63)*COS(2*PI()/4*0)+(K61-K63)*SIN(2*PI()/4*0)</f>
        <v>1.9999999999999998</v>
      </c>
      <c r="M63" s="17">
        <f>-(J61-J63)*SIN(2*PI()/4*0)+(K61-K63)*COS(2*PI()/4*0)</f>
        <v>1.6413575816573216</v>
      </c>
      <c r="N63" s="17">
        <f>L63+L64</f>
        <v>2</v>
      </c>
      <c r="O63" s="17">
        <f>M63+M64</f>
        <v>-0.9459295517826383</v>
      </c>
      <c r="P63" s="17">
        <f>N28/$P$1</f>
        <v>0</v>
      </c>
      <c r="Q63" s="17">
        <f>O28/$P$1</f>
        <v>0</v>
      </c>
      <c r="R63" s="18" t="s">
        <v>141</v>
      </c>
      <c r="S63" s="17"/>
      <c r="T63" s="17"/>
    </row>
    <row r="64" spans="1:20" ht="12.75">
      <c r="A64" s="16" t="s">
        <v>142</v>
      </c>
      <c r="B64" s="17">
        <v>-1</v>
      </c>
      <c r="C64" s="17">
        <v>0</v>
      </c>
      <c r="D64" s="17">
        <f>(B32-B64)*COS(2*PI()/64*27)+(C32-C64)*SIN(2*PI()/64*27)</f>
        <v>-1.7638425286967099</v>
      </c>
      <c r="E64" s="17">
        <f>-(B32-B64)*SIN(2*PI()/64*27)+(C32-C64)*COS(2*PI()/64*27)</f>
        <v>-0.9427934736519957</v>
      </c>
      <c r="F64" s="17">
        <f>(D48-D64)*COS(2*PI()/32*11)+(E48-E64)*SIN(2*PI()/32*11)</f>
        <v>-2.1864037340035143</v>
      </c>
      <c r="G64" s="17">
        <f>-(D48-D64)*SIN(2*PI()/32*11)+(E48-E64)*COS(2*PI()/32*11)</f>
        <v>-1.7943351726852743</v>
      </c>
      <c r="H64" s="17">
        <f>(F56-F64)*COS(2*PI()/16*3)+(G56-G64)*SIN(2*PI()/16*3)</f>
        <v>3.3154990810180593</v>
      </c>
      <c r="I64" s="17">
        <f>-(F56-F64)*SIN(2*PI()/16*3)+(G56-G64)*COS(2*PI()/16*3)</f>
        <v>-4.039947319304197</v>
      </c>
      <c r="J64" s="17">
        <f>H64+H68</f>
        <v>-1.2936435667199793</v>
      </c>
      <c r="K64" s="17">
        <f>I64+I68</f>
        <v>-1.5763092469025013</v>
      </c>
      <c r="L64" s="17">
        <f>(J62-J64)*COS(2*PI()/4*1)+(K62-K64)*SIN(2*PI()/4*1)</f>
        <v>1.584256453221189E-16</v>
      </c>
      <c r="M64" s="17">
        <f>-(J62-J64)*SIN(2*PI()/4*1)+(K62-K64)*COS(2*PI()/4*1)</f>
        <v>-2.58728713343996</v>
      </c>
      <c r="N64" s="17">
        <f>(L63-L64)*COS(2*PI()/2*0)+(M63-M64)*SIN(2*PI()/2*0)</f>
        <v>1.9999999999999996</v>
      </c>
      <c r="O64" s="17">
        <f>-(L63-L64)*SIN(2*PI()/2*0)+(M63-M64)*COS(2*PI()/2*0)</f>
        <v>4.228644715097282</v>
      </c>
      <c r="P64" s="17">
        <f>N60/$P$1</f>
        <v>0.031249999999999993</v>
      </c>
      <c r="Q64" s="17">
        <f>O60/$P$1</f>
        <v>0.12475699324281514</v>
      </c>
      <c r="R64" s="18" t="s">
        <v>143</v>
      </c>
      <c r="S64" s="17"/>
      <c r="T64" s="17"/>
    </row>
    <row r="65" spans="1:20" ht="12.75">
      <c r="A65" s="16" t="s">
        <v>144</v>
      </c>
      <c r="B65" s="17">
        <v>-1</v>
      </c>
      <c r="C65" s="17">
        <v>0</v>
      </c>
      <c r="D65" s="17">
        <f>(B33-B65)*COS(2*PI()/64*28)+(C33-C65)*SIN(2*PI()/64*28)</f>
        <v>-1.8477590650225735</v>
      </c>
      <c r="E65" s="17">
        <f>-(B33-B65)*SIN(2*PI()/64*28)+(C33-C65)*COS(2*PI()/64*28)</f>
        <v>-0.7653668647301798</v>
      </c>
      <c r="F65" s="17">
        <f>(D49-D65)*COS(2*PI()/32*12)+(E49-E65)*SIN(2*PI()/32*12)</f>
        <v>-2.613125929752753</v>
      </c>
      <c r="G65" s="17">
        <f>-(D49-D65)*SIN(2*PI()/32*12)+(E49-E65)*COS(2*PI()/32*12)</f>
        <v>-1.0823922002923942</v>
      </c>
      <c r="H65" s="17">
        <f>(F57-F65)*COS(2*PI()/16*4)+(G57-G65)*SIN(2*PI()/16*4)</f>
        <v>3.2001563056406604E-16</v>
      </c>
      <c r="I65" s="17">
        <f>-(F57-F65)*SIN(2*PI()/16*4)+(G57-G65)*COS(2*PI()/16*4)</f>
        <v>-5.226251859505506</v>
      </c>
      <c r="J65" s="17">
        <f>(H61-H65)*COS(2*PI()/8*0)+(I61-I65)*SIN(2*PI()/8*0)</f>
        <v>1.9999999999999993</v>
      </c>
      <c r="K65" s="17">
        <f>-(H61-H65)*SIN(2*PI()/8*0)+(I61-I65)*COS(2*PI()/8*0)</f>
        <v>10.054678984251696</v>
      </c>
      <c r="L65" s="17">
        <f>J65+J67</f>
        <v>2</v>
      </c>
      <c r="M65" s="17">
        <f>K65+K67</f>
        <v>-0.19698280671432755</v>
      </c>
      <c r="N65" s="17">
        <f>L65+L66</f>
        <v>2</v>
      </c>
      <c r="O65" s="17">
        <f>M65+M66</f>
        <v>-2.2066599514669543</v>
      </c>
      <c r="P65" s="17">
        <f>N20/$P$1</f>
        <v>0</v>
      </c>
      <c r="Q65" s="17">
        <f>O20/$P$1</f>
        <v>0</v>
      </c>
      <c r="R65" s="18" t="s">
        <v>145</v>
      </c>
      <c r="S65" s="17"/>
      <c r="T65" s="17"/>
    </row>
    <row r="66" spans="1:20" ht="12.75">
      <c r="A66" s="16" t="s">
        <v>146</v>
      </c>
      <c r="B66" s="17">
        <v>-1</v>
      </c>
      <c r="C66" s="17">
        <v>0</v>
      </c>
      <c r="D66" s="17">
        <f>(B34-B66)*COS(2*PI()/64*29)+(C34-C66)*SIN(2*PI()/64*29)</f>
        <v>-1.9138806714644176</v>
      </c>
      <c r="E66" s="17">
        <f>-(B34-B66)*SIN(2*PI()/64*29)+(C34-C66)*COS(2*PI()/64*29)</f>
        <v>-0.5805693545089248</v>
      </c>
      <c r="F66" s="17">
        <f>(D50-D66)*COS(2*PI()/32*13)+(E50-E66)*SIN(2*PI()/32*13)</f>
        <v>-2.814807475052765</v>
      </c>
      <c r="G66" s="17">
        <f>-(D50-D66)*SIN(2*PI()/32*13)+(E50-E66)*COS(2*PI()/32*13)</f>
        <v>-0.27723433839818257</v>
      </c>
      <c r="H66" s="17">
        <f>(F58-F66)*COS(2*PI()/16*5)+(G58-G66)*SIN(2*PI()/16*5)</f>
        <v>-3.315499081018057</v>
      </c>
      <c r="I66" s="17">
        <f>-(F58-F66)*SIN(2*PI()/16*5)+(G58-G66)*COS(2*PI()/16*5)</f>
        <v>-4.039947319304199</v>
      </c>
      <c r="J66" s="17">
        <f>(H62-H66)*COS(2*PI()/8*1)+(I62-I66)*SIN(2*PI()/8*1)</f>
        <v>10.202297237378328</v>
      </c>
      <c r="K66" s="17">
        <f>-(H62-H66)*SIN(2*PI()/8*1)+(I62-I66)*COS(2*PI()/8*1)</f>
        <v>-1.0048385723763094</v>
      </c>
      <c r="L66" s="17">
        <f>J66+J68</f>
        <v>0</v>
      </c>
      <c r="M66" s="17">
        <f>K66+K68</f>
        <v>-2.0096771447526267</v>
      </c>
      <c r="N66" s="17">
        <f>(L65-L66)*COS(2*PI()/2*0)+(M65-M66)*SIN(2*PI()/2*0)</f>
        <v>2</v>
      </c>
      <c r="O66" s="17">
        <f>-(L65-L66)*SIN(2*PI()/2*0)+(M65-M66)*COS(2*PI()/2*0)</f>
        <v>1.8126943380382992</v>
      </c>
      <c r="P66" s="17">
        <f>N52/$P$1</f>
        <v>0.031249999999999986</v>
      </c>
      <c r="Q66" s="17">
        <f>O52/$P$1</f>
        <v>0.21067038766921836</v>
      </c>
      <c r="R66" s="18" t="s">
        <v>147</v>
      </c>
      <c r="S66" s="17"/>
      <c r="T66" s="17"/>
    </row>
    <row r="67" spans="1:20" ht="12.75">
      <c r="A67" s="16" t="s">
        <v>148</v>
      </c>
      <c r="B67" s="17">
        <v>-1</v>
      </c>
      <c r="C67" s="17">
        <v>0</v>
      </c>
      <c r="D67" s="17">
        <f>(B35-B67)*COS(2*PI()/64*30)+(C35-C67)*SIN(2*PI()/64*30)</f>
        <v>-1.9615705608064609</v>
      </c>
      <c r="E67" s="17">
        <f>-(B35-B67)*SIN(2*PI()/64*30)+(C35-C67)*COS(2*PI()/64*30)</f>
        <v>-0.3901806440322572</v>
      </c>
      <c r="F67" s="17">
        <f>(D51-D67)*COS(2*PI()/32*14)+(E51-E67)*SIN(2*PI()/32*14)</f>
        <v>-2.774079690644295</v>
      </c>
      <c r="G67" s="17">
        <f>-(D51-D67)*SIN(2*PI()/32*14)+(E51-E67)*COS(2*PI()/32*14)</f>
        <v>0.5517987585658848</v>
      </c>
      <c r="H67" s="17">
        <f>(F59-F67)*COS(2*PI()/16*6)+(G59-G67)*SIN(2*PI()/16*6)</f>
        <v>-5.125830895483011</v>
      </c>
      <c r="I67" s="17">
        <f>-(F59-F67)*SIN(2*PI()/16*6)+(G59-G67)*COS(2*PI()/16*6)</f>
        <v>-1.0195911582083208</v>
      </c>
      <c r="J67" s="17">
        <f>(H63-H67)*COS(2*PI()/8*2)+(I63-I67)*SIN(2*PI()/8*2)</f>
        <v>6.277332399123882E-16</v>
      </c>
      <c r="K67" s="17">
        <f>-(H63-H67)*SIN(2*PI()/8*2)+(I63-I67)*COS(2*PI()/8*2)</f>
        <v>-10.251661790966024</v>
      </c>
      <c r="L67" s="17">
        <f>(J65-J67)*COS(2*PI()/4*0)+(K65-K67)*SIN(2*PI()/4*0)</f>
        <v>1.9999999999999987</v>
      </c>
      <c r="M67" s="17">
        <f>-(J65-J67)*SIN(2*PI()/4*0)+(K65-K67)*COS(2*PI()/4*0)</f>
        <v>20.30634077521772</v>
      </c>
      <c r="N67" s="17">
        <f>L67+L68</f>
        <v>2.000000000000008</v>
      </c>
      <c r="O67" s="17">
        <f>M67+M68</f>
        <v>-0.0982536995389367</v>
      </c>
      <c r="P67" s="17">
        <f>N36/$P$1</f>
        <v>0</v>
      </c>
      <c r="Q67" s="17">
        <f>O36/$P$1</f>
        <v>0</v>
      </c>
      <c r="R67" s="18" t="s">
        <v>149</v>
      </c>
      <c r="S67" s="17"/>
      <c r="T67" s="17"/>
    </row>
    <row r="68" spans="1:20" ht="12.75">
      <c r="A68" s="16" t="s">
        <v>150</v>
      </c>
      <c r="B68" s="17">
        <v>-1</v>
      </c>
      <c r="C68" s="17">
        <v>0</v>
      </c>
      <c r="D68" s="17">
        <f>(B36-B68)*COS(2*PI()/64*31)+(C36-C68)*SIN(2*PI()/64*31)</f>
        <v>-1.9903694533443936</v>
      </c>
      <c r="E68" s="17">
        <f>-(B36-B68)*SIN(2*PI()/64*31)+(C36-C68)*COS(2*PI()/64*31)</f>
        <v>-0.19603428065912165</v>
      </c>
      <c r="F68" s="17">
        <f>(D52-D68)*COS(2*PI()/32*15)+(E52-E68)*SIN(2*PI()/32*15)</f>
        <v>-2.494450025973343</v>
      </c>
      <c r="G68" s="17">
        <f>-(D52-D68)*SIN(2*PI()/32*15)+(E52-E68)*COS(2*PI()/32*15)</f>
        <v>1.3333113169554918</v>
      </c>
      <c r="H68" s="17">
        <f>(F60-F68)*COS(2*PI()/16*7)+(G60-G68)*SIN(2*PI()/16*7)</f>
        <v>-4.609142647738039</v>
      </c>
      <c r="I68" s="17">
        <f>-(F60-F68)*SIN(2*PI()/16*7)+(G60-G68)*COS(2*PI()/16*7)</f>
        <v>2.4636380724016957</v>
      </c>
      <c r="J68" s="17">
        <f>(H64-H68)*COS(2*PI()/8*3)+(I64-I68)*SIN(2*PI()/8*3)</f>
        <v>-10.202297237378328</v>
      </c>
      <c r="K68" s="17">
        <f>-(H64-H68)*SIN(2*PI()/8*3)+(I64-I68)*COS(2*PI()/8*3)</f>
        <v>-1.0048385723763174</v>
      </c>
      <c r="L68" s="17">
        <f>(J66-J68)*COS(2*PI()/4*1)+(K66-K68)*SIN(2*PI()/4*1)</f>
        <v>9.243026842871652E-15</v>
      </c>
      <c r="M68" s="17">
        <f>-(J66-J68)*SIN(2*PI()/4*1)+(K66-K68)*COS(2*PI()/4*1)</f>
        <v>-20.404594474756657</v>
      </c>
      <c r="N68" s="17">
        <f>(L67-L68)*COS(2*PI()/2*0)+(M67-M68)*SIN(2*PI()/2*0)</f>
        <v>1.9999999999999893</v>
      </c>
      <c r="O68" s="17">
        <f>-(L67-L68)*SIN(2*PI()/2*0)+(M67-M68)*COS(2*PI()/2*0)</f>
        <v>40.710935249974376</v>
      </c>
      <c r="P68" s="17">
        <f>N68/$P$1</f>
        <v>0.031249999999999833</v>
      </c>
      <c r="Q68" s="17">
        <f>O68/$P$1</f>
        <v>0.6361083632808496</v>
      </c>
      <c r="R68" s="18" t="s">
        <v>151</v>
      </c>
      <c r="S68" s="17"/>
      <c r="T68" s="17"/>
    </row>
    <row r="70" ht="12.75">
      <c r="B70" s="24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suga</dc:creator>
  <cp:keywords/>
  <dc:description/>
  <cp:lastModifiedBy>m suga</cp:lastModifiedBy>
  <dcterms:created xsi:type="dcterms:W3CDTF">2010-07-11T13:10:12Z</dcterms:created>
  <dcterms:modified xsi:type="dcterms:W3CDTF">2010-07-22T15:21:18Z</dcterms:modified>
  <cp:category/>
  <cp:version/>
  <cp:contentType/>
  <cp:contentStatus/>
  <cp:revision>26</cp:revision>
</cp:coreProperties>
</file>